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NFwz8ojQDmZx5e9q4avYB85SFWj9NXcrORstklRK+hQkTg6gPmOWKIVc+wXeHwHsypD0KCzedNG7ZwK5V+e6Gg==" workbookSaltValue="+xptaUafQOmO6u4R62e/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I11" i="12" s="1"/>
  <c r="G12" i="2"/>
  <c r="E9" i="2"/>
  <c r="B9" i="6" s="1"/>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18" i="12"/>
  <c r="ER19" i="8"/>
  <c r="EL19" i="8"/>
  <c r="AC11" i="11"/>
  <c r="EQ19" i="8"/>
  <c r="AP12" i="11"/>
  <c r="Y11" i="11"/>
  <c r="AT18" i="17"/>
  <c r="N10" i="11"/>
  <c r="N9" i="11"/>
  <c r="T10" i="21"/>
  <c r="N11" i="11"/>
  <c r="ES19" i="8"/>
  <c r="C18" i="7"/>
  <c r="S19" i="13"/>
  <c r="AG19" i="19"/>
  <c r="F9" i="11"/>
  <c r="CI19" i="8"/>
  <c r="AE19" i="8"/>
  <c r="EP19" i="8"/>
  <c r="ER19" i="13"/>
  <c r="AL13" i="16"/>
  <c r="S13" i="16"/>
  <c r="H18" i="16"/>
  <c r="P13" i="16"/>
  <c r="AN13" i="20"/>
  <c r="Z13" i="17"/>
  <c r="N13" i="2"/>
  <c r="AC10" i="11"/>
  <c r="T19" i="8"/>
  <c r="AJ19" i="8"/>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F17" i="17"/>
  <c r="AQ17" i="17" s="1"/>
  <c r="AO16" i="11"/>
  <c r="BG16" i="8"/>
  <c r="K16" i="7" s="1"/>
  <c r="AW18" i="21"/>
  <c r="H13" i="12"/>
  <c r="BD12" i="8"/>
  <c r="H12" i="7" s="1"/>
  <c r="AB19" i="8"/>
  <c r="Z19" i="8"/>
  <c r="BG10" i="8"/>
  <c r="AO9" i="11"/>
  <c r="AL11" i="11"/>
  <c r="F9" i="2"/>
  <c r="K9" i="7"/>
  <c r="H15" i="7"/>
  <c r="H12" i="2"/>
  <c r="C10" i="6"/>
  <c r="L11" i="14"/>
  <c r="E18" i="2"/>
  <c r="AO17" i="11"/>
  <c r="AL15" i="11"/>
  <c r="L16" i="14"/>
  <c r="M18" i="2"/>
  <c r="M19" i="2" s="1"/>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D19" i="12"/>
  <c r="Y13" i="11"/>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<sst xmlns="http://schemas.openxmlformats.org/spreadsheetml/2006/main" count="2102" uniqueCount="918">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</sst>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8DDSpT9rWoNvJwx18+SXSGkvGHrtGJYDmfzOgwMLE3cHk7+FTTxVDkI7RPvmK/+LlGSncX8T09kPv2N3Bx6Ug==" saltValue="AqBKfI4bF7Em2RmK1v3C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65</v>
      </c>
      <c r="D10" s="224">
        <f>IF(ISNUMBER(Datos!I10),Datos!I10," - ")</f>
        <v>65</v>
      </c>
      <c r="E10" s="225">
        <f>IF(ISNUMBER(Datos!J10),Datos!J10," - ")</f>
        <v>13</v>
      </c>
      <c r="F10" s="225">
        <f>IF(ISNUMBER(Datos!K10),Datos!K10," - ")</f>
        <v>14</v>
      </c>
      <c r="G10" s="1033" t="str">
        <f>IF(Datos!E10&lt;&gt;"",Datos!E10,Datos!D10)</f>
        <v>37</v>
      </c>
      <c r="H10" s="226">
        <f>IF(ISNUMBER(Datos!L10),Datos!L10," - ")</f>
        <v>64</v>
      </c>
      <c r="I10" s="1043" t="str">
        <f>IF(ISNUMBER(Datos!AS10/Datos!BM10),Datos!AS10/Datos!BM10," - ")</f>
        <v xml:space="preserve"> - </v>
      </c>
      <c r="J10" s="1044">
        <f>IF(ISNUMBER(Datos!BY10/Datos!CN10),Datos!BY10/Datos!CN10," - ")</f>
        <v>0</v>
      </c>
      <c r="K10" s="229">
        <f t="shared" ref="K10:K12" si="1">IF(ISNUMBER((E10-F10)/C10),(E10-F10)/C10," - ")</f>
        <v>-1.5384615384615385E-2</v>
      </c>
      <c r="L10" s="1024">
        <f>IF(ISNUMBER(NºAsuntos!I10/NºAsuntos!G10),(NºAsuntos!I10/NºAsuntos!G10)*11," - ")</f>
        <v>50.285714285714285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56.205179282868528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65</v>
      </c>
      <c r="D13" s="1048">
        <f>SUBTOTAL(9,D9:D12)</f>
        <v>65</v>
      </c>
      <c r="E13" s="1049">
        <f>SUBTOTAL(9,E9:E12)</f>
        <v>13</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1915</v>
      </c>
      <c r="D16" s="224">
        <f>IF(ISNUMBER(IF(D_I="SI",Datos!I16,Datos!I16+Datos!AC16)),IF(D_I="SI",Datos!I16,Datos!I16+Datos!AC16)," - ")</f>
        <v>1918</v>
      </c>
      <c r="E16" s="225">
        <f>IF(ISNUMBER(IF(D_I="SI",Datos!J16,Datos!J16+Datos!AD16)),IF(D_I="SI",Datos!J16,Datos!J16+Datos!AD16)," - ")</f>
        <v>752</v>
      </c>
      <c r="F16" s="225">
        <f>IF(ISNUMBER(IF(D_I="SI",Datos!K16,Datos!K16+Datos!AE16)),IF(D_I="SI",Datos!K16,Datos!K16+Datos!AE16)," - ")</f>
        <v>772</v>
      </c>
      <c r="G16" s="1033" t="str">
        <f>IF(Datos!E16&lt;&gt;"",Datos!E16,Datos!D16)</f>
        <v>04</v>
      </c>
      <c r="H16" s="226">
        <f>IF(ISNUMBER(IF(D_I="SI",Datos!L16,Datos!L16+Datos!AF16)),IF(D_I="SI",Datos!L16,Datos!L16+Datos!AF16)," - ")</f>
        <v>1895</v>
      </c>
      <c r="I16" s="1043" t="str">
        <f>IF(ISNUMBER(Datos!AS16/Datos!BM16),Datos!AS16/Datos!BM16," - ")</f>
        <v xml:space="preserve"> - </v>
      </c>
      <c r="J16" s="1044">
        <f>IF(ISNUMBER(Datos!BY16/Datos!CN16),Datos!BY16/Datos!CN16," - ")</f>
        <v>0</v>
      </c>
      <c r="K16" s="229">
        <f t="shared" si="3"/>
        <v>-1.0443864229765013E-2</v>
      </c>
      <c r="L16" s="1024">
        <f>IF(ISNUMBER(NºAsuntos!I16/NºAsuntos!G16),(NºAsuntos!I16/NºAsuntos!G16)*11," - ")</f>
        <v>27.001295336787564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149</v>
      </c>
      <c r="D17" s="224">
        <f>IF(ISNUMBER(IF(D_I="SI",Datos!I17,Datos!I17+Datos!AC17)),IF(D_I="SI",Datos!I17,Datos!I17+Datos!AC17)," - ")</f>
        <v>149</v>
      </c>
      <c r="E17" s="225">
        <f>IF(ISNUMBER(IF(D_I="SI",Datos!J17,Datos!J17+Datos!AD17)),IF(D_I="SI",Datos!J17,Datos!J17+Datos!AD17)," - ")</f>
        <v>51</v>
      </c>
      <c r="F17" s="225">
        <f>IF(ISNUMBER(IF(D_I="SI",Datos!K17,Datos!K17+Datos!AE17)),IF(D_I="SI",Datos!K17,Datos!K17+Datos!AE17)," - ")</f>
        <v>54</v>
      </c>
      <c r="G17" s="1033" t="str">
        <f>IF(Datos!E17&lt;&gt;"",Datos!E17,Datos!D17)</f>
        <v>37</v>
      </c>
      <c r="H17" s="226">
        <f>IF(ISNUMBER(IF(D_I="SI",Datos!L17,Datos!L17+Datos!AF17)),IF(D_I="SI",Datos!L17,Datos!L17+Datos!AF17)," - ")</f>
        <v>146</v>
      </c>
      <c r="I17" s="1043" t="str">
        <f>IF(ISNUMBER(Datos!AS17/Datos!BM17),Datos!AS17/Datos!BM17," - ")</f>
        <v xml:space="preserve"> - </v>
      </c>
      <c r="J17" s="1044" t="str">
        <f>IF(ISNUMBER((Datos!BY17+Datos!BZ17)/Datos!CN17),(Datos!BY17+Datos!BZ17)/Datos!CN17," - ")</f>
        <v xml:space="preserve"> - </v>
      </c>
      <c r="K17" s="229">
        <f t="shared" si="3"/>
        <v>-2.0134228187919462E-2</v>
      </c>
      <c r="L17" s="1024">
        <f>IF(ISNUMBER(NºAsuntos!I17/NºAsuntos!G17),(NºAsuntos!I17/NºAsuntos!G17)*11," - ")</f>
        <v>29.74074074074074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2064</v>
      </c>
      <c r="D18" s="1048">
        <f>SUBTOTAL(9,D15:D17)</f>
        <v>2067</v>
      </c>
      <c r="E18" s="1049">
        <f>SUBTOTAL(9,E15:E17)</f>
        <v>803</v>
      </c>
      <c r="F18" s="1049">
        <f>SUBTOTAL(9,F15:F17)</f>
        <v>826</v>
      </c>
      <c r="G18" s="1051" t="str">
        <f ca="1">INDIRECT(CONCATENATE("G",ROW()-1))</f>
        <v>37</v>
      </c>
      <c r="H18" s="1052">
        <f ca="1">SUMIF(G$14:G17,G18,H$14:H17)</f>
        <v>146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2129</v>
      </c>
      <c r="D19" s="1070">
        <f>SUBTOTAL(9,D9:D18)</f>
        <v>2132</v>
      </c>
      <c r="E19" s="1071">
        <f>SUBTOTAL(9,E9:E18)</f>
        <v>816</v>
      </c>
      <c r="F19" s="1071">
        <f>SUBTOTAL(9,F9:F18)</f>
        <v>840</v>
      </c>
      <c r="G19" s="1072"/>
      <c r="H19" s="1073">
        <f ca="1">SUMIF(B9:B18,"TOTAL",H9:H18)</f>
        <v>146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05uuxiBbT7Sc16UMSvePC7vKUQzpGo0lo6vupBvrgMasuhW7uIy2ShYFtODhTsld7EK1DgXNWYC6pCdBAEQaA==" saltValue="nOJ53v5I3uCLig6O/yXK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YfATWVCKw2IisM6pVzYOPmZaPeL8KPJipqb/Ozv2gHHoe7Grsfgqf/1Aob7NRzxXnF0dhVGfYqZjWtp95Z3hw==" saltValue="ZrM7nr2sBImvd9ffBBhu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65</v>
      </c>
      <c r="J10" s="180">
        <v>13</v>
      </c>
      <c r="K10" s="180">
        <v>14</v>
      </c>
      <c r="L10" s="180">
        <v>64</v>
      </c>
      <c r="M10" s="180">
        <v>1</v>
      </c>
      <c r="N10" s="180">
        <v>4</v>
      </c>
      <c r="O10" s="180">
        <v>1</v>
      </c>
      <c r="P10" s="180">
        <v>4</v>
      </c>
      <c r="Q10" s="180">
        <v>2</v>
      </c>
      <c r="R10" s="180">
        <v>18</v>
      </c>
      <c r="S10" s="180">
        <v>46</v>
      </c>
      <c r="T10" s="180">
        <v>15</v>
      </c>
      <c r="U10" s="180">
        <v>1</v>
      </c>
      <c r="V10" s="180">
        <v>60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46</v>
      </c>
      <c r="AZ10" s="129">
        <f t="shared" si="0"/>
        <v>15</v>
      </c>
      <c r="BA10" s="129">
        <f t="shared" si="0"/>
        <v>1</v>
      </c>
      <c r="BB10" s="129">
        <f t="shared" si="0"/>
        <v>60</v>
      </c>
      <c r="BC10" s="125">
        <f t="shared" si="0"/>
        <v>0</v>
      </c>
      <c r="BD10" s="126">
        <f>IF(ISNUMBER(BA10/AZ10),BA10/AZ10," - ")</f>
        <v>6.6666666666666666E-2</v>
      </c>
      <c r="BE10" s="127">
        <f>IF(ISNUMBER(BB10/BA10),BB10/BA10, " - ")</f>
        <v>60</v>
      </c>
      <c r="BF10" s="127">
        <f>IF(ISNUMBER(BC10/BA10),BC10/BA10, " - ")</f>
        <v>0</v>
      </c>
      <c r="BG10" s="195">
        <f>IF(ISNUMBER((AY10+AZ10)/BA10),(AY10+AZ10)/BA10," - ")</f>
        <v>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2500</v>
      </c>
      <c r="J12" s="182">
        <v>394</v>
      </c>
      <c r="K12" s="182">
        <v>461</v>
      </c>
      <c r="L12" s="182">
        <v>2442</v>
      </c>
      <c r="M12" s="182">
        <v>131</v>
      </c>
      <c r="N12" s="182">
        <v>254</v>
      </c>
      <c r="O12" s="180">
        <v>177</v>
      </c>
      <c r="P12" s="182">
        <v>152</v>
      </c>
      <c r="Q12" s="182">
        <v>180</v>
      </c>
      <c r="R12" s="182">
        <v>2651</v>
      </c>
      <c r="S12" s="182">
        <v>2308</v>
      </c>
      <c r="T12" s="182">
        <v>839</v>
      </c>
      <c r="U12" s="182">
        <v>754</v>
      </c>
      <c r="V12" s="182">
        <v>2396</v>
      </c>
      <c r="W12" s="182">
        <v>131</v>
      </c>
      <c r="X12" s="188">
        <v>456</v>
      </c>
      <c r="Y12" s="190">
        <v>114</v>
      </c>
      <c r="Z12" s="180">
        <v>46</v>
      </c>
      <c r="AA12" s="180">
        <v>41</v>
      </c>
      <c r="AB12" s="180">
        <v>123</v>
      </c>
      <c r="AC12" s="182">
        <v>0</v>
      </c>
      <c r="AD12" s="182">
        <v>0</v>
      </c>
      <c r="AE12" s="182">
        <v>0</v>
      </c>
      <c r="AF12" s="188">
        <v>0</v>
      </c>
      <c r="AG12" s="201">
        <v>77</v>
      </c>
      <c r="AH12" s="182">
        <v>13</v>
      </c>
      <c r="AI12" s="182">
        <v>17</v>
      </c>
      <c r="AJ12" s="202">
        <v>70</v>
      </c>
      <c r="AK12" s="181">
        <v>0</v>
      </c>
      <c r="AL12" s="182">
        <v>0</v>
      </c>
      <c r="AM12" s="182">
        <v>0</v>
      </c>
      <c r="AN12" s="188">
        <v>0</v>
      </c>
      <c r="AO12" s="258">
        <v>3</v>
      </c>
      <c r="AP12" s="154">
        <v>3</v>
      </c>
      <c r="AQ12" s="154">
        <v>3</v>
      </c>
      <c r="AR12" s="153">
        <v>3</v>
      </c>
      <c r="AS12" s="339" t="s">
        <v>794</v>
      </c>
      <c r="AT12" s="202"/>
      <c r="AU12" s="201"/>
      <c r="AV12" s="202"/>
      <c r="AW12" s="201"/>
      <c r="AX12" s="202"/>
      <c r="AY12" s="126">
        <f t="shared" si="1"/>
        <v>2385</v>
      </c>
      <c r="AZ12" s="127">
        <f t="shared" si="1"/>
        <v>852</v>
      </c>
      <c r="BA12" s="127">
        <f t="shared" si="1"/>
        <v>771</v>
      </c>
      <c r="BB12" s="127">
        <f t="shared" si="1"/>
        <v>2466</v>
      </c>
      <c r="BC12" s="125">
        <f>IF(ISNUMBER(X12),X12," - ")</f>
        <v>456</v>
      </c>
      <c r="BD12" s="126">
        <f t="shared" si="2"/>
        <v>0.90492957746478875</v>
      </c>
      <c r="BE12" s="127">
        <f t="shared" si="3"/>
        <v>3.1984435797665371</v>
      </c>
      <c r="BF12" s="127">
        <f t="shared" si="4"/>
        <v>0.59143968871595332</v>
      </c>
      <c r="BG12" s="195">
        <f t="shared" si="5"/>
        <v>4.1984435797665371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2565</v>
      </c>
      <c r="J13" s="183">
        <f t="shared" si="6"/>
        <v>407</v>
      </c>
      <c r="K13" s="183">
        <f t="shared" si="6"/>
        <v>475</v>
      </c>
      <c r="L13" s="183">
        <f t="shared" si="6"/>
        <v>2506</v>
      </c>
      <c r="M13" s="183">
        <f t="shared" si="6"/>
        <v>132</v>
      </c>
      <c r="N13" s="183">
        <f t="shared" si="6"/>
        <v>258</v>
      </c>
      <c r="O13" s="183">
        <f t="shared" si="6"/>
        <v>178</v>
      </c>
      <c r="P13" s="183">
        <f t="shared" si="6"/>
        <v>156</v>
      </c>
      <c r="Q13" s="183">
        <f t="shared" si="6"/>
        <v>182</v>
      </c>
      <c r="R13" s="183">
        <f t="shared" si="6"/>
        <v>2669</v>
      </c>
      <c r="S13" s="183">
        <f t="shared" si="6"/>
        <v>2354</v>
      </c>
      <c r="T13" s="183">
        <f t="shared" si="6"/>
        <v>854</v>
      </c>
      <c r="U13" s="183">
        <f t="shared" si="6"/>
        <v>755</v>
      </c>
      <c r="V13" s="183">
        <f t="shared" si="6"/>
        <v>2456</v>
      </c>
      <c r="W13" s="183">
        <f t="shared" si="6"/>
        <v>131</v>
      </c>
      <c r="X13" s="183">
        <f t="shared" si="6"/>
        <v>457</v>
      </c>
      <c r="Y13" s="183">
        <f t="shared" si="6"/>
        <v>114</v>
      </c>
      <c r="Z13" s="183">
        <f t="shared" si="6"/>
        <v>46</v>
      </c>
      <c r="AA13" s="183">
        <f t="shared" si="6"/>
        <v>41</v>
      </c>
      <c r="AB13" s="183">
        <f t="shared" si="6"/>
        <v>123</v>
      </c>
      <c r="AC13" s="183">
        <f t="shared" si="6"/>
        <v>0</v>
      </c>
      <c r="AD13" s="183">
        <f t="shared" si="6"/>
        <v>0</v>
      </c>
      <c r="AE13" s="183">
        <f t="shared" si="6"/>
        <v>0</v>
      </c>
      <c r="AF13" s="183">
        <f>SUBTOTAL(9,AF9:AF12)</f>
        <v>0</v>
      </c>
      <c r="AG13" s="183">
        <f t="shared" ref="AG13:AT13" si="7">SUBTOTAL(9,AG8:AG12)</f>
        <v>77</v>
      </c>
      <c r="AH13" s="183">
        <f t="shared" si="7"/>
        <v>13</v>
      </c>
      <c r="AI13" s="183">
        <f t="shared" si="7"/>
        <v>17</v>
      </c>
      <c r="AJ13" s="183">
        <f t="shared" si="7"/>
        <v>70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2431</v>
      </c>
      <c r="AZ13" s="183">
        <f>SUBTOTAL(9,AZ8:AZ12)</f>
        <v>867</v>
      </c>
      <c r="BA13" s="183">
        <f>SUBTOTAL(9,BA8:BA12)</f>
        <v>772</v>
      </c>
      <c r="BB13" s="183">
        <f>SUBTOTAL(9,BB8:BB12)</f>
        <v>2526</v>
      </c>
      <c r="BC13" s="183">
        <f>SUBTOTAL(9,BC8:BC12)</f>
        <v>456</v>
      </c>
      <c r="BD13" s="204">
        <f>IF(ISNUMBER(BA13/AZ13),BA13/AZ13," - ")</f>
        <v>0.89042675893886969</v>
      </c>
      <c r="BE13" s="205">
        <f>IF(ISNUMBER(BB13/BA13),BB13/BA13, " - ")</f>
        <v>3.2720207253886011</v>
      </c>
      <c r="BF13" s="205">
        <f>IF(ISNUMBER(BC13/BA13),BC13/BA13, " - ")</f>
        <v>0.59067357512953367</v>
      </c>
      <c r="BG13" s="206">
        <f>IF(ISNUMBER((AY13+AZ13)/BA13),(AY13+AZ13)/BA13," - ")</f>
        <v>4.2720207253886011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1918</v>
      </c>
      <c r="J16" s="182">
        <v>752</v>
      </c>
      <c r="K16" s="182">
        <v>772</v>
      </c>
      <c r="L16" s="182">
        <v>1895</v>
      </c>
      <c r="M16" s="182">
        <v>44</v>
      </c>
      <c r="N16" s="182">
        <v>626</v>
      </c>
      <c r="O16" s="180">
        <v>0</v>
      </c>
      <c r="P16" s="182">
        <v>1</v>
      </c>
      <c r="Q16" s="182">
        <v>0</v>
      </c>
      <c r="R16" s="182">
        <v>105</v>
      </c>
      <c r="S16" s="182">
        <v>1489</v>
      </c>
      <c r="T16" s="182">
        <v>534</v>
      </c>
      <c r="U16" s="182">
        <v>495</v>
      </c>
      <c r="V16" s="182">
        <v>1470</v>
      </c>
      <c r="W16" s="182">
        <v>59</v>
      </c>
      <c r="X16" s="188">
        <v>354</v>
      </c>
      <c r="Y16" s="201">
        <v>0</v>
      </c>
      <c r="Z16" s="182">
        <v>0</v>
      </c>
      <c r="AA16" s="182">
        <v>0</v>
      </c>
      <c r="AB16" s="182">
        <v>0</v>
      </c>
      <c r="AC16" s="182">
        <v>1</v>
      </c>
      <c r="AD16" s="182">
        <v>1</v>
      </c>
      <c r="AE16" s="182">
        <v>1</v>
      </c>
      <c r="AF16" s="188">
        <v>1</v>
      </c>
      <c r="AG16" s="201">
        <v>0</v>
      </c>
      <c r="AH16" s="182">
        <v>0</v>
      </c>
      <c r="AI16" s="182">
        <v>0</v>
      </c>
      <c r="AJ16" s="202">
        <v>0</v>
      </c>
      <c r="AK16" s="181">
        <v>0</v>
      </c>
      <c r="AL16" s="182">
        <v>3</v>
      </c>
      <c r="AM16" s="182">
        <v>3</v>
      </c>
      <c r="AN16" s="188">
        <v>0</v>
      </c>
      <c r="AO16" s="258">
        <v>3</v>
      </c>
      <c r="AP16" s="154">
        <v>3</v>
      </c>
      <c r="AQ16" s="154">
        <v>3</v>
      </c>
      <c r="AR16" s="154">
        <v>3</v>
      </c>
      <c r="AS16" s="339" t="s">
        <v>487</v>
      </c>
      <c r="AT16" s="202"/>
      <c r="AU16" s="201"/>
      <c r="AV16" s="202"/>
      <c r="AW16" s="201"/>
      <c r="AX16" s="202"/>
      <c r="AY16" s="126">
        <f t="shared" si="9"/>
        <v>1489</v>
      </c>
      <c r="AZ16" s="127">
        <f t="shared" si="9"/>
        <v>534</v>
      </c>
      <c r="BA16" s="127">
        <f t="shared" si="9"/>
        <v>495</v>
      </c>
      <c r="BB16" s="127">
        <f t="shared" si="9"/>
        <v>1470</v>
      </c>
      <c r="BC16" s="125">
        <f>IF(ISNUMBER(W16),W16," - ")</f>
        <v>59</v>
      </c>
      <c r="BD16" s="126">
        <f t="shared" ref="BD16" si="11">IF(ISNUMBER(BA16/AZ16),BA16/AZ16," - ")</f>
        <v>0.9269662921348315</v>
      </c>
      <c r="BE16" s="127">
        <f t="shared" ref="BE16" si="12">IF(ISNUMBER(BB16/BA16),BB16/BA16, " - ")</f>
        <v>2.9696969696969697</v>
      </c>
      <c r="BF16" s="127">
        <f t="shared" ref="BF16" si="13">IF(ISNUMBER(BC16/BA16),BC16/BA16, " - ")</f>
        <v>0.1191919191919192</v>
      </c>
      <c r="BG16" s="195">
        <f t="shared" si="10"/>
        <v>4.0868686868686872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149</v>
      </c>
      <c r="J17" s="182">
        <v>51</v>
      </c>
      <c r="K17" s="182">
        <v>54</v>
      </c>
      <c r="L17" s="182">
        <v>146</v>
      </c>
      <c r="M17" s="182">
        <v>9</v>
      </c>
      <c r="N17" s="182">
        <v>32</v>
      </c>
      <c r="O17" s="182">
        <v>0</v>
      </c>
      <c r="P17" s="182">
        <v>0</v>
      </c>
      <c r="Q17" s="182">
        <v>0</v>
      </c>
      <c r="R17" s="182">
        <v>0</v>
      </c>
      <c r="S17" s="182">
        <v>144</v>
      </c>
      <c r="T17" s="182">
        <v>62</v>
      </c>
      <c r="U17" s="182">
        <v>44</v>
      </c>
      <c r="V17" s="182">
        <v>162</v>
      </c>
      <c r="W17" s="182">
        <v>12</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144</v>
      </c>
      <c r="AZ17" s="129">
        <f t="shared" si="14"/>
        <v>62</v>
      </c>
      <c r="BA17" s="129">
        <f t="shared" si="14"/>
        <v>44</v>
      </c>
      <c r="BB17" s="129">
        <f t="shared" si="14"/>
        <v>162</v>
      </c>
      <c r="BC17" s="125">
        <f>IF(ISNUMBER(W17),W17," - ")</f>
        <v>12</v>
      </c>
      <c r="BD17" s="126">
        <f>IF(ISNUMBER(BA17/AZ17),BA17/AZ17," - ")</f>
        <v>0.70967741935483875</v>
      </c>
      <c r="BE17" s="127">
        <f>IF(ISNUMBER(BB17/BA17),BB17/BA17, " - ")</f>
        <v>3.6818181818181817</v>
      </c>
      <c r="BF17" s="127">
        <f>IF(ISNUMBER(BC17/BA17),BC17/BA17, " - ")</f>
        <v>0.27272727272727271</v>
      </c>
      <c r="BG17" s="195">
        <f>IF(ISNUMBER((AY17+AZ17)/BA17),(AY17+AZ17)/BA17," - ")</f>
        <v>4.6818181818181817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2067</v>
      </c>
      <c r="J18" s="183">
        <f t="shared" si="15"/>
        <v>803</v>
      </c>
      <c r="K18" s="183">
        <f t="shared" si="15"/>
        <v>826</v>
      </c>
      <c r="L18" s="183">
        <f t="shared" si="15"/>
        <v>2041</v>
      </c>
      <c r="M18" s="183">
        <f t="shared" si="15"/>
        <v>53</v>
      </c>
      <c r="N18" s="183">
        <f t="shared" si="15"/>
        <v>658</v>
      </c>
      <c r="O18" s="183">
        <f t="shared" si="15"/>
        <v>0</v>
      </c>
      <c r="P18" s="183">
        <f t="shared" si="15"/>
        <v>1</v>
      </c>
      <c r="Q18" s="183">
        <f t="shared" si="15"/>
        <v>0</v>
      </c>
      <c r="R18" s="183">
        <f t="shared" si="15"/>
        <v>105</v>
      </c>
      <c r="S18" s="183">
        <f t="shared" si="15"/>
        <v>1633</v>
      </c>
      <c r="T18" s="183">
        <f t="shared" si="15"/>
        <v>596</v>
      </c>
      <c r="U18" s="183">
        <f t="shared" si="15"/>
        <v>539</v>
      </c>
      <c r="V18" s="183">
        <f t="shared" si="15"/>
        <v>1632</v>
      </c>
      <c r="W18" s="183">
        <f t="shared" si="15"/>
        <v>71</v>
      </c>
      <c r="X18" s="183">
        <f t="shared" si="15"/>
        <v>375</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1633</v>
      </c>
      <c r="AZ18" s="183">
        <f>SUBTOTAL(9,AZ14:AZ17)</f>
        <v>596</v>
      </c>
      <c r="BA18" s="183">
        <f>SUBTOTAL(9,BA14:BA17)</f>
        <v>539</v>
      </c>
      <c r="BB18" s="183">
        <f>SUBTOTAL(9,BB14:BB17)</f>
        <v>1632</v>
      </c>
      <c r="BC18" s="183">
        <f>SUBTOTAL(9,BC14:BC17)</f>
        <v>71</v>
      </c>
      <c r="BD18" s="204">
        <f>IF(ISNUMBER(BA18/AZ18),BA18/AZ18," - ")</f>
        <v>0.90436241610738255</v>
      </c>
      <c r="BE18" s="205">
        <f>IF(ISNUMBER(BB18/BA18),BB18/BA18, " - ")</f>
        <v>3.0278293135435992</v>
      </c>
      <c r="BF18" s="205">
        <f>IF(ISNUMBER(BC18/BA18),BC18/BA18, " - ")</f>
        <v>0.13172541743970315</v>
      </c>
      <c r="BG18" s="206">
        <f>IF(ISNUMBER((AY18+AZ18)/BA18),(AY18+AZ18)/BA18," - ")</f>
        <v>4.1354359925788495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4632</v>
      </c>
      <c r="J19" s="134">
        <f t="shared" si="18"/>
        <v>1210</v>
      </c>
      <c r="K19" s="134">
        <f t="shared" si="18"/>
        <v>1301</v>
      </c>
      <c r="L19" s="134">
        <f t="shared" si="18"/>
        <v>4547</v>
      </c>
      <c r="M19" s="134">
        <f t="shared" si="18"/>
        <v>185</v>
      </c>
      <c r="N19" s="134">
        <f t="shared" si="18"/>
        <v>916</v>
      </c>
      <c r="O19" s="134">
        <f t="shared" si="18"/>
        <v>178</v>
      </c>
      <c r="P19" s="134">
        <f t="shared" si="18"/>
        <v>157</v>
      </c>
      <c r="Q19" s="134">
        <f t="shared" si="18"/>
        <v>182</v>
      </c>
      <c r="R19" s="134">
        <f t="shared" si="18"/>
        <v>2774</v>
      </c>
      <c r="S19" s="134">
        <f t="shared" si="18"/>
        <v>3987</v>
      </c>
      <c r="T19" s="134">
        <f t="shared" si="18"/>
        <v>1450</v>
      </c>
      <c r="U19" s="134">
        <f t="shared" si="18"/>
        <v>1294</v>
      </c>
      <c r="V19" s="134">
        <f t="shared" si="18"/>
        <v>4088</v>
      </c>
      <c r="W19" s="134">
        <f t="shared" si="18"/>
        <v>202</v>
      </c>
      <c r="X19" s="134">
        <f t="shared" si="18"/>
        <v>832</v>
      </c>
      <c r="Y19" s="134">
        <f t="shared" si="18"/>
        <v>114</v>
      </c>
      <c r="Z19" s="134">
        <f t="shared" si="18"/>
        <v>46</v>
      </c>
      <c r="AA19" s="134">
        <f t="shared" si="18"/>
        <v>41</v>
      </c>
      <c r="AB19" s="134">
        <f t="shared" si="18"/>
        <v>123</v>
      </c>
      <c r="AC19" s="134">
        <f t="shared" si="18"/>
        <v>1</v>
      </c>
      <c r="AD19" s="134">
        <f t="shared" si="18"/>
        <v>1</v>
      </c>
      <c r="AE19" s="134">
        <f t="shared" si="18"/>
        <v>1</v>
      </c>
      <c r="AF19" s="134">
        <f t="shared" si="18"/>
        <v>1</v>
      </c>
      <c r="AG19" s="134">
        <f t="shared" si="18"/>
        <v>77</v>
      </c>
      <c r="AH19" s="134">
        <f t="shared" si="18"/>
        <v>13</v>
      </c>
      <c r="AI19" s="134">
        <f t="shared" si="18"/>
        <v>17</v>
      </c>
      <c r="AJ19" s="134">
        <f t="shared" si="18"/>
        <v>70</v>
      </c>
      <c r="AK19" s="134">
        <f t="shared" si="18"/>
        <v>0</v>
      </c>
      <c r="AL19" s="134">
        <f t="shared" si="18"/>
        <v>3</v>
      </c>
      <c r="AM19" s="134">
        <f t="shared" si="18"/>
        <v>3</v>
      </c>
      <c r="AN19" s="209">
        <f t="shared" si="18"/>
        <v>0</v>
      </c>
      <c r="AO19" s="210">
        <v>4</v>
      </c>
      <c r="AP19" s="210">
        <v>3</v>
      </c>
      <c r="AQ19" s="210">
        <v>3</v>
      </c>
      <c r="AR19" s="210">
        <v>3</v>
      </c>
      <c r="AS19" s="152">
        <f t="shared" si="18"/>
        <v>0</v>
      </c>
      <c r="AT19" s="152">
        <f t="shared" si="18"/>
        <v>0</v>
      </c>
      <c r="AU19" s="210"/>
      <c r="AV19" s="211"/>
      <c r="AW19" s="210"/>
      <c r="AX19" s="211"/>
      <c r="AY19" s="133">
        <f>SUBTOTAL(9,AY9:AY18)</f>
        <v>4064</v>
      </c>
      <c r="AZ19" s="134">
        <f>SUBTOTAL(9,AZ9:AZ18)</f>
        <v>1463</v>
      </c>
      <c r="BA19" s="134">
        <f>SUBTOTAL(9,BA9:BA18)</f>
        <v>1311</v>
      </c>
      <c r="BB19" s="134">
        <f>SUBTOTAL(9,BB9:BB18)</f>
        <v>4158</v>
      </c>
      <c r="BC19" s="135">
        <f>SUBTOTAL(9,BC9:BC18)</f>
        <v>527</v>
      </c>
      <c r="BD19" s="212">
        <f>IF(ISNUMBER(BA19/AZ19),BA19/AZ19," - ")</f>
        <v>0.89610389610389607</v>
      </c>
      <c r="BE19" s="209">
        <f>IF(ISNUMBER(BB19/BA19),BB19/BA19, " - ")</f>
        <v>3.1716247139588098</v>
      </c>
      <c r="BF19" s="209">
        <f>IF(ISNUMBER(BC19/BA19),BC19/BA19, " - ")</f>
        <v>0.40198321891685734</v>
      </c>
      <c r="BG19" s="135">
        <f>IF(ISNUMBER((AY19+AZ19)/BA19),(AY19+AZ19)/BA19," - ")</f>
        <v>4.2158657513348592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A9HRVqUYuWmAKIavq3N1mULXOIGMeDOKprITIPTnqLGhXshT9m+ojFj+0DIsF8zBAfEIPGGJTb5m4zZ4LspkA==" saltValue="8DWQYLwltetDpK57vJCj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a3vwYAVcRLUzDpmmeJFVlwBxbGZGpKapfeFTA38XhnDjfFFT0UWiheL2vVphY88w9kKwE2PGP126+SR3VyA==" saltValue="CAdJnApwOUtqcTvCy1TF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2</v>
      </c>
      <c r="AD10" s="333"/>
      <c r="AE10" s="483"/>
      <c r="AF10" s="331">
        <f>IF(ISNUMBER(Datos!L10),Datos!L10,"-")</f>
        <v>64</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4</v>
      </c>
      <c r="BE10" s="228" t="str">
        <f>IF(ISNUMBER(Datos!BW10),Datos!BW10," - ")</f>
        <v xml:space="preserve"> - </v>
      </c>
      <c r="BF10" s="227" t="str">
        <f>IF(ISNUMBER(Datos!BX10),Datos!BX10," - ")</f>
        <v xml:space="preserve"> - </v>
      </c>
      <c r="BG10" s="242">
        <f>IF(ISNUMBER(Datos!K10/Datos!J10),Datos!K10/Datos!J10," - ")</f>
        <v>1.0769230769230769</v>
      </c>
      <c r="BH10" s="259">
        <f>IF(ISNUMBER(((Datos!L10/Datos!K10)*11)/factor_trimestre),((Datos!L10/Datos!K10)*11)/factor_trimestre," - ")</f>
        <v>13.714285714285715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152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123</v>
      </c>
      <c r="AI12" s="333" t="str">
        <f>IF(ISNUMBER(Datos!CD12),Datos!CD12,"-")</f>
        <v>-</v>
      </c>
      <c r="AJ12" s="333" t="str">
        <f>IF(ISNUMBER(Datos!EN12),Datos!EN12," - ")</f>
        <v xml:space="preserve"> - </v>
      </c>
      <c r="AK12" s="333"/>
      <c r="AL12" s="478"/>
      <c r="AM12" s="334">
        <f>IF(ISNUMBER(Datos!R12),Datos!R12," - ")</f>
        <v>2651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131</v>
      </c>
      <c r="BD12" s="228">
        <f>IF(ISNUMBER(Datos!N12),Datos!N12," - ")</f>
        <v>254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1.1409090909090909</v>
      </c>
      <c r="BH12" s="259">
        <f>IF(ISNUMBER(((IF(J_V="SI",Datos!L12/Datos!K12,(Datos!L12+Datos!AB12)/(Datos!K12+Datos!AA12)))*11)/factor_trimestre),((IF(J_V="SI",Datos!L12/Datos!K12,(Datos!L12+Datos!AB12)/(Datos!K12+Datos!AA12)))*11)/factor_trimestre," - ")</f>
        <v>15.328685258964144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-1.0451661067562523E-2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65</v>
      </c>
      <c r="G13" s="897">
        <f t="shared" si="0"/>
        <v>65</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156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182</v>
      </c>
      <c r="AD13" s="898">
        <f t="shared" si="1"/>
        <v>0</v>
      </c>
      <c r="AE13" s="898">
        <f t="shared" si="1"/>
        <v>0</v>
      </c>
      <c r="AF13" s="898">
        <f t="shared" si="1"/>
        <v>64</v>
      </c>
      <c r="AG13" s="898">
        <f t="shared" si="1"/>
        <v>0</v>
      </c>
      <c r="AH13" s="898">
        <f t="shared" si="1"/>
        <v>123</v>
      </c>
      <c r="AI13" s="898">
        <f t="shared" si="1"/>
        <v>0</v>
      </c>
      <c r="AJ13" s="898">
        <f t="shared" si="1"/>
        <v>0</v>
      </c>
      <c r="AK13" s="898">
        <f t="shared" si="1"/>
        <v>0</v>
      </c>
      <c r="AL13" s="898">
        <f t="shared" si="1"/>
        <v>0</v>
      </c>
      <c r="AM13" s="898">
        <f t="shared" si="1"/>
        <v>2669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132</v>
      </c>
      <c r="BD13" s="898">
        <f t="shared" si="1"/>
        <v>258</v>
      </c>
      <c r="BE13" s="898">
        <f t="shared" si="1"/>
        <v>0</v>
      </c>
      <c r="BF13" s="898">
        <f t="shared" si="1"/>
        <v>0</v>
      </c>
      <c r="BG13" s="898">
        <f>IF(ISNUMBER(Datos!K13/Datos!J13),Datos!K13/Datos!J13," - ")</f>
        <v>1.1670761670761671</v>
      </c>
      <c r="BH13" s="902">
        <f>IF(ISNUMBER(((Datos!L13/Datos!K13)*11)/factor_trimestre),((Datos!L13/Datos!K13)*11)/factor_trimestre," - ")</f>
        <v>15.827368421052633</v>
      </c>
      <c r="BI13" s="898">
        <f>IF(ISNUMBER('Resol  Asuntos'!D13/NºAsuntos!G13),'Resol  Asuntos'!D13/NºAsuntos!G13," - ")</f>
        <v>0.2558139534883721</v>
      </c>
      <c r="BJ13" s="898" t="str">
        <f>IF(ISNUMBER(Datos!CI13/Datos!CJ13),Datos!CI13/Datos!CJ13," - ")</f>
        <v xml:space="preserve"> - </v>
      </c>
      <c r="BK13" s="898">
        <f>SUBTOTAL(9,BK8:BK12)</f>
        <v>0</v>
      </c>
      <c r="BL13" s="898">
        <f>IF(ISNUMBER((I13-AB13+L13)/(F13)),(I13-AB13+L13)/(F13)," - ")</f>
        <v>-0.2153846153846154</v>
      </c>
      <c r="BM13" s="903">
        <f>SUBTOTAL(9,BM9:BM12)</f>
        <v>0.11454833893243747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1915</v>
      </c>
      <c r="G16" s="597">
        <f>IF(ISNUMBER(IF(D_I="SI",Datos!I16,Datos!I16+Datos!AC16)),IF(D_I="SI",Datos!I16,Datos!I16+Datos!AC16)," - ")</f>
        <v>1918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772</v>
      </c>
      <c r="AC16" s="225">
        <f>IF(ISNUMBER(Datos!Q16),Datos!Q16," - ")</f>
        <v>0</v>
      </c>
      <c r="AD16" s="333"/>
      <c r="AE16" s="483"/>
      <c r="AF16" s="595">
        <f>IF(ISNUMBER(IF(D_I="SI",Datos!L16,Datos!L16+Datos!AF16)),IF(D_I="SI",Datos!L16,Datos!L16+Datos!AF16)," - ")</f>
        <v>1895</v>
      </c>
      <c r="AG16" s="333"/>
      <c r="AH16" s="333"/>
      <c r="AI16" s="333"/>
      <c r="AJ16" s="333"/>
      <c r="AK16" s="333"/>
      <c r="AL16" s="478"/>
      <c r="AM16" s="334">
        <f>IF(ISNUMBER(Datos!R16),Datos!R16," - ")</f>
        <v>105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626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1.0265957446808511</v>
      </c>
      <c r="BH16" s="259">
        <f>IF(ISNUMBER(((IF(D_I="SI",Datos!L16/Datos!K16,(Datos!L16+Datos!AF16)/(Datos!K16+Datos!AE16)))*11)/factor_trimestre),((IF(D_I="SI",Datos!L16/Datos!K16,(Datos!L16+Datos!AF16)/(Datos!K16+Datos!AE16)))*11)/factor_trimestre," - ")</f>
        <v>7.3639896373056999</v>
      </c>
      <c r="BI16" s="242">
        <f>IF(ISNUMBER('Resol  Asuntos'!D16/NºAsuntos!G16),'Resol  Asuntos'!D16/NºAsuntos!G16," - ")</f>
        <v>5.6994818652849742E-2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0</v>
      </c>
      <c r="AD17" s="333"/>
      <c r="AE17" s="483"/>
      <c r="AF17" s="331">
        <f>IF(ISNUMBER(Datos!L17),Datos!L17,"-")</f>
        <v>146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1.0588235294117647</v>
      </c>
      <c r="BH17" s="259">
        <f>IF(ISNUMBER(((IF(D_I="SI",Datos!L17/Datos!K17,(Datos!L17+Datos!AF17)/(Datos!K17+Datos!AE17)))*11)/factor_trimestre),((IF(D_I="SI",Datos!L17/Datos!K17,(Datos!L17+Datos!AF17)/(Datos!K17+Datos!AE17)))*11)/factor_trimestre," - ")</f>
        <v>8.1111111111111107</v>
      </c>
      <c r="BI17" s="242">
        <f>IF(ISNUMBER('Resol  Asuntos'!D17/NºAsuntos!G17),'Resol  Asuntos'!D17/NºAsuntos!G17," - ")</f>
        <v>0.16666666666666666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1915</v>
      </c>
      <c r="G18" s="897">
        <f>SUBTOTAL(9,G15:G17)</f>
        <v>2067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826</v>
      </c>
      <c r="AC18" s="898">
        <f t="shared" si="4"/>
        <v>0</v>
      </c>
      <c r="AD18" s="898">
        <f t="shared" si="4"/>
        <v>0</v>
      </c>
      <c r="AE18" s="898">
        <f t="shared" si="4"/>
        <v>0</v>
      </c>
      <c r="AF18" s="898">
        <f t="shared" si="4"/>
        <v>2041</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658</v>
      </c>
      <c r="BE18" s="898">
        <f t="shared" si="4"/>
        <v>0</v>
      </c>
      <c r="BF18" s="898">
        <f t="shared" si="4"/>
        <v>0</v>
      </c>
      <c r="BG18" s="898">
        <f>IF(ISNUMBER(Datos!K18/Datos!J18),Datos!K18/Datos!J18," - ")</f>
        <v>1.0286425902864258</v>
      </c>
      <c r="BH18" s="902">
        <f>IF(ISNUMBER(((Datos!L18/Datos!K18)*11)/factor_trimestre),((Datos!L18/Datos!K18)*11)/factor_trimestre," - ")</f>
        <v>7.4128329297820832</v>
      </c>
      <c r="BI18" s="898">
        <f>SUBTOTAL(9,BI15:BI17)</f>
        <v>0.22366148531951641</v>
      </c>
      <c r="BJ18" s="898">
        <f>SUBTOTAL(9,BJ15:BJ17)</f>
        <v>0</v>
      </c>
      <c r="BK18" s="898">
        <f>SUBTOTAL(9,BK15:BK17)</f>
        <v>0</v>
      </c>
      <c r="BL18" s="898">
        <f>IF(ISNUMBER((I18-AB18+L18)/(F18)),(I18-AB18+L18)/(F18)," - ")</f>
        <v>-0.43133159268929505</v>
      </c>
      <c r="BM18" s="904">
        <f>IF(ISNUMBER((Datos!P18-Datos!Q18)/(Datos!R18-Datos!P18+Datos!Q18)),(Datos!P18-Datos!Q18)/(Datos!R18-Datos!P18+Datos!Q18)," - ")</f>
        <v>9.6153846153846159E-3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1980</v>
      </c>
      <c r="G19" s="819">
        <f t="shared" si="6"/>
        <v>2132</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157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840</v>
      </c>
      <c r="AC19" s="820">
        <f t="shared" si="7"/>
        <v>182</v>
      </c>
      <c r="AD19" s="820">
        <f t="shared" si="7"/>
        <v>0</v>
      </c>
      <c r="AE19" s="820">
        <f t="shared" si="7"/>
        <v>0</v>
      </c>
      <c r="AF19" s="827">
        <f t="shared" si="7"/>
        <v>2105</v>
      </c>
      <c r="AG19" s="827">
        <f t="shared" si="7"/>
        <v>0</v>
      </c>
      <c r="AH19" s="827">
        <f t="shared" si="7"/>
        <v>123</v>
      </c>
      <c r="AI19" s="827">
        <f t="shared" si="7"/>
        <v>0</v>
      </c>
      <c r="AJ19" s="820">
        <f t="shared" si="7"/>
        <v>0</v>
      </c>
      <c r="AK19" s="827">
        <f t="shared" si="7"/>
        <v>0</v>
      </c>
      <c r="AL19" s="827">
        <f t="shared" si="7"/>
        <v>0</v>
      </c>
      <c r="AM19" s="827">
        <f t="shared" si="7"/>
        <v>2774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185</v>
      </c>
      <c r="BD19" s="819">
        <f t="shared" si="7"/>
        <v>916</v>
      </c>
      <c r="BE19" s="819">
        <f t="shared" si="7"/>
        <v>0</v>
      </c>
      <c r="BF19" s="829">
        <f t="shared" si="7"/>
        <v>0</v>
      </c>
      <c r="BG19" s="914">
        <f>IF(ISNUMBER(Datos!K19/Datos!J19),Datos!K19/Datos!J19," - ")</f>
        <v>1.0752066115702479</v>
      </c>
      <c r="BH19" s="914">
        <f>IF(ISNUMBER(((Datos!L19/Datos!K19)*11)/factor_trimestre),((Datos!L19/Datos!K19)*11)/factor_trimestre," - ")</f>
        <v>10.485011529592622</v>
      </c>
      <c r="BI19" s="812">
        <f>IF(ISNUMBER(Datos!J19/Datos!I19),Datos!J19/Datos!I19," - ")</f>
        <v>0.26122625215889467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-0.42424242424242425</v>
      </c>
      <c r="BM19" s="888">
        <f>IF(ISNUMBER((Datos!P19-Datos!Q19+R19)/(Datos!R19-Datos!P19+Datos!Q19-R19)),(Datos!P19-Datos!Q19+R19)/(Datos!R19-Datos!P19+Datos!Q19-R19)," - ")</f>
        <v>-8.9317613433369056E-3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1068.0979980008076</v>
      </c>
      <c r="G21" s="551">
        <f>IF(ISNUMBER(STDEV(G8:G18)),STDEV(G8:G18),"-")</f>
        <v>1042.2961191523261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423.40524323631138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57.611341476020733</v>
      </c>
      <c r="BD21" s="550"/>
      <c r="BE21" s="550">
        <f>IF(ISNUMBER(STDEV(BE8:BE18)),STDEV(BE8:BE18),"-")</f>
        <v>0</v>
      </c>
      <c r="BF21" s="555">
        <f>IF(ISNUMBER(STDEV(BF8:BF18)),STDEV(BF8:BF18),"-")</f>
        <v>0</v>
      </c>
      <c r="BG21" s="774">
        <f>IF(ISNUMBER(STDEV(BG8:BG18)),STDEV(BG8:BG18),"-")</f>
        <v>5.8616902907081561E-2</v>
      </c>
      <c r="BH21" s="775">
        <f>IF(ISNUMBER(STDEV(BH8:BH18)),STDEV(BH8:BH18),"-")</f>
        <v>4.0823305306952573</v>
      </c>
      <c r="BI21" s="248">
        <f>IF(ISNUMBER(STDEV(BI8:BI18)),STDEV(BI8:BI18),"-")</f>
        <v>8.73518601746128E-2</v>
      </c>
      <c r="BJ21" s="229" t="str">
        <f>IF(ISNUMBER(BL21/BM21),BL21/BM21," - ")</f>
        <v xml:space="preserve"> - </v>
      </c>
      <c r="BK21" s="574"/>
      <c r="BL21" s="558">
        <f>IF(ISNUMBER(STDEV(BL8:BL18)),STDEV(BL8:BL18),"-")</f>
        <v>0.15269757202887646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uyn4dOQ1irvXgXQ/6NVK0OX1QX4yAodIrqRCBa0krig8Uw2ub3vtdTNy1QM3Ta6L+gEQJMr+FOr8PddA596PA==" saltValue="tK4M9dsxbLrr5t5BpVu0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CARAVACA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2</v>
      </c>
      <c r="AA10" s="331">
        <f>IF(ISNUMBER(Datos!L10),Datos!L10,"-")</f>
        <v>64</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13.714285714285715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180</v>
      </c>
      <c r="AA12" s="331" t="str">
        <f>IF(ISNUMBER(IF(J_V="SI",Datos!L12,Datos!L12+Datos!AB12)-IF(Monitorios="SI",Datos!CD12,0)),
                          IF(J_V="SI",Datos!L12,Datos!L12+Datos!AB12)-IF(Monitorios="SI",Datos!CD12,0),
                          " - ")</f>
        <v xml:space="preserve"> - </v>
      </c>
      <c r="AB12" s="333"/>
      <c r="AC12" s="333"/>
      <c r="AD12" s="483"/>
      <c r="AE12" s="483">
        <f>IF(ISNUMBER(Datos!R12),Datos!R12," - ")</f>
        <v>2651</v>
      </c>
      <c r="AF12" s="228" t="str">
        <f>IF(ISNUMBER(Datos!BV12),Datos!BV12," - ")</f>
        <v xml:space="preserve"> - </v>
      </c>
      <c r="AG12" s="224" t="str">
        <f>IF(ISNUMBER(Datos!DV12),Datos!DV12," - ")</f>
        <v xml:space="preserve"> - </v>
      </c>
      <c r="AH12" s="297"/>
      <c r="AI12" s="226"/>
      <c r="AJ12" s="224">
        <f>IF(ISNUMBER(Datos!M12),Datos!M12," - ")</f>
        <v>131</v>
      </c>
      <c r="AK12" s="228">
        <f>IF(ISNUMBER(Datos!N12),Datos!N12," - ")</f>
        <v>254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15.328685258964144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-1.0451661067562523E-2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65</v>
      </c>
      <c r="G13" s="897">
        <f>SUBTOTAL(9,G8:G12)</f>
        <v>65</v>
      </c>
      <c r="H13" s="907"/>
      <c r="I13" s="897">
        <f t="shared" ref="I13:N13" si="0">SUBTOTAL(9,I8:I12)</f>
        <v>0</v>
      </c>
      <c r="J13" s="866">
        <f t="shared" si="0"/>
        <v>0</v>
      </c>
      <c r="K13" s="907">
        <f t="shared" si="0"/>
        <v>0</v>
      </c>
      <c r="L13" s="907">
        <f t="shared" si="0"/>
        <v>0</v>
      </c>
      <c r="M13" s="907">
        <f t="shared" si="0"/>
        <v>0</v>
      </c>
      <c r="N13" s="907">
        <f t="shared" si="0"/>
        <v>156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182</v>
      </c>
      <c r="AA13" s="899">
        <f t="shared" si="2"/>
        <v>64</v>
      </c>
      <c r="AB13" s="899">
        <f t="shared" si="2"/>
        <v>0</v>
      </c>
      <c r="AC13" s="899">
        <f t="shared" si="2"/>
        <v>0</v>
      </c>
      <c r="AD13" s="899">
        <f t="shared" si="2"/>
        <v>0</v>
      </c>
      <c r="AE13" s="899">
        <f t="shared" si="2"/>
        <v>2669</v>
      </c>
      <c r="AF13" s="907">
        <f t="shared" si="2"/>
        <v>0</v>
      </c>
      <c r="AG13" s="907">
        <f t="shared" si="2"/>
        <v>0</v>
      </c>
      <c r="AH13" s="907">
        <f t="shared" si="2"/>
        <v>0</v>
      </c>
      <c r="AI13" s="907">
        <f t="shared" si="2"/>
        <v>0</v>
      </c>
      <c r="AJ13" s="907">
        <f t="shared" si="2"/>
        <v>132</v>
      </c>
      <c r="AK13" s="907">
        <f t="shared" si="2"/>
        <v>258</v>
      </c>
      <c r="AL13" s="907">
        <f t="shared" si="2"/>
        <v>0</v>
      </c>
      <c r="AM13" s="907">
        <f t="shared" si="2"/>
        <v>0</v>
      </c>
      <c r="AN13" s="907">
        <f t="shared" si="2"/>
        <v>0</v>
      </c>
      <c r="AO13" s="903">
        <f>IF(ISNUMBER(((NºAsuntos!I13/NºAsuntos!G13)*11)/factor_trimestre),((NºAsuntos!I13/NºAsuntos!G13)*11)/factor_trimestre," - ")</f>
        <v>15.284883720930232</v>
      </c>
      <c r="AP13" s="909" t="str">
        <f>IF(ISNUMBER(Datos!CI13/Datos!CJ13),Datos!CI13/Datos!CJ13," - ")</f>
        <v xml:space="preserve"> - </v>
      </c>
      <c r="AQ13" s="927">
        <f t="shared" ref="AQ13:AV13" si="3">SUBTOTAL(9,AQ9:AQ12)</f>
        <v>0</v>
      </c>
      <c r="AR13" s="927">
        <f t="shared" si="3"/>
        <v>0.11454833893243747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1915</v>
      </c>
      <c r="G16" s="224">
        <f>IF(ISNUMBER(IF(D_I="SI",Datos!I16,Datos!I16+Datos!AC16)),IF(D_I="SI",Datos!I16,Datos!I16+Datos!AC16)," - ")</f>
        <v>1918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772</v>
      </c>
      <c r="Z16" s="618">
        <f>IF(ISNUMBER(Datos!Q16),Datos!Q16," - ")</f>
        <v>0</v>
      </c>
      <c r="AA16" s="331">
        <f>IF(ISNUMBER(IF(D_I="SI",Datos!L16,Datos!L16+Datos!AF16)),IF(D_I="SI",Datos!L16,Datos!L16+Datos!AF16)," - ")</f>
        <v>1895</v>
      </c>
      <c r="AB16" s="333"/>
      <c r="AC16" s="333"/>
      <c r="AD16" s="483"/>
      <c r="AE16" s="483">
        <f>IF(ISNUMBER(Datos!R16),Datos!R16," - ")</f>
        <v>105</v>
      </c>
      <c r="AF16" s="228" t="str">
        <f>IF(ISNUMBER(Datos!BV16),Datos!BV16," - ")</f>
        <v xml:space="preserve"> - </v>
      </c>
      <c r="AG16" s="224"/>
      <c r="AH16" s="297"/>
      <c r="AI16" s="226"/>
      <c r="AJ16" s="224">
        <f>IF(ISNUMBER(Datos!M16),Datos!M16," - ")</f>
        <v>44</v>
      </c>
      <c r="AK16" s="228">
        <f>IF(ISNUMBER(Datos!N16),Datos!N16," - ")</f>
        <v>626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7.3639896373056999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0</v>
      </c>
      <c r="AA17" s="331">
        <f>IF(ISNUMBER(Datos!L17),Datos!L17,"-")</f>
        <v>146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8.1111111111111107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1915</v>
      </c>
      <c r="G18" s="897">
        <f>SUBTOTAL(9,G15:G17)</f>
        <v>2067</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826</v>
      </c>
      <c r="Z18" s="931">
        <f t="shared" si="5"/>
        <v>0</v>
      </c>
      <c r="AA18" s="931">
        <f t="shared" si="5"/>
        <v>2041</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53</v>
      </c>
      <c r="AK18" s="931">
        <f t="shared" si="5"/>
        <v>658</v>
      </c>
      <c r="AL18" s="931">
        <f t="shared" si="5"/>
        <v>0</v>
      </c>
      <c r="AM18" s="931">
        <f t="shared" si="5"/>
        <v>0</v>
      </c>
      <c r="AN18" s="931">
        <f t="shared" si="5"/>
        <v>0</v>
      </c>
      <c r="AO18" s="933">
        <f>IF(ISNUMBER(((NºAsuntos!I18/NºAsuntos!G18)*11)/factor_trimestre),((NºAsuntos!I18/NºAsuntos!G18)*11)/factor_trimestre," - ")</f>
        <v>7.4128329297820832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1980</v>
      </c>
      <c r="G19" s="819">
        <f t="shared" si="7"/>
        <v>2132</v>
      </c>
      <c r="H19" s="820">
        <f t="shared" si="7"/>
        <v>0</v>
      </c>
      <c r="I19" s="819">
        <f t="shared" si="7"/>
        <v>0</v>
      </c>
      <c r="J19" s="821">
        <f t="shared" si="7"/>
        <v>0</v>
      </c>
      <c r="K19" s="819">
        <f t="shared" si="7"/>
        <v>0</v>
      </c>
      <c r="L19" s="822">
        <f t="shared" si="7"/>
        <v>0</v>
      </c>
      <c r="M19" s="819">
        <f t="shared" si="7"/>
        <v>0</v>
      </c>
      <c r="N19" s="820">
        <f t="shared" si="7"/>
        <v>157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840</v>
      </c>
      <c r="Z19" s="826">
        <f t="shared" si="8"/>
        <v>182</v>
      </c>
      <c r="AA19" s="827">
        <f t="shared" si="8"/>
        <v>2105</v>
      </c>
      <c r="AB19" s="827">
        <f t="shared" si="8"/>
        <v>0</v>
      </c>
      <c r="AC19" s="827">
        <f t="shared" si="8"/>
        <v>0</v>
      </c>
      <c r="AD19" s="828">
        <f t="shared" si="8"/>
        <v>0</v>
      </c>
      <c r="AE19" s="828">
        <f t="shared" si="8"/>
        <v>2774</v>
      </c>
      <c r="AF19" s="829">
        <f t="shared" si="8"/>
        <v>0</v>
      </c>
      <c r="AG19" s="830">
        <f t="shared" si="8"/>
        <v>0</v>
      </c>
      <c r="AH19" s="831">
        <f t="shared" si="8"/>
        <v>0</v>
      </c>
      <c r="AI19" s="829">
        <f t="shared" si="8"/>
        <v>0</v>
      </c>
      <c r="AJ19" s="819">
        <f t="shared" si="8"/>
        <v>185</v>
      </c>
      <c r="AK19" s="819">
        <f t="shared" si="8"/>
        <v>916</v>
      </c>
      <c r="AL19" s="819">
        <f t="shared" si="8"/>
        <v>0</v>
      </c>
      <c r="AM19" s="832">
        <f t="shared" si="8"/>
        <v>0</v>
      </c>
      <c r="AN19" s="822">
        <f>IF(ISNUMBER(Datos!K19/Datos!J19),Datos!K19/Datos!J19," - ")</f>
        <v>1.0752066115702479</v>
      </c>
      <c r="AO19" s="822">
        <f>IF(ISNUMBER(FIND("06",Criterios!A8,1)),(IF(ISNUMBER(((Datos!R19/Datos!Q19)*11)/factor_trimestre),((Datos!R19/Datos!Q19)*11)/factor_trimestre," - ")),(IF(ISNUMBER(((Datos!L19/Datos!K19)*11)/factor_trimestre),((Datos!L19/Datos!K19)*11)/factor_trimestre," - ")))</f>
        <v>10.485011529592622</v>
      </c>
      <c r="AP19" s="833" t="str">
        <f>IF(ISNUMBER(Datos!CI19/Datos!CJ19),Datos!CI19/Datos!CJ19," - ")</f>
        <v xml:space="preserve"> - </v>
      </c>
      <c r="AQ19" s="833">
        <f>IF(OR(ISNUMBER(FIND("01",Criterios!A8,1)),ISNUMBER(FIND("02",Criterios!A8,1)),ISNUMBER(FIND("03",Criterios!A8,1)),ISNUMBER(FIND("04",Criterios!A8,1))),(J19-Y19+K19)/(F19-K19),(I19-Y19+K19)/(F19-K19))</f>
        <v>-0.42424242424242425</v>
      </c>
      <c r="AR19" s="833">
        <f>IF(ISNUMBER((Datos!P19-Datos!Q19+O19)/(Datos!R19-Datos!P19+Datos!Q19-O19)),(Datos!P19-Datos!Q19+O19)/(Datos!R19-Datos!P19+Datos!Q19-O19)," - ")</f>
        <v>-8.9317613433369056E-3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1068.0979980008076</v>
      </c>
      <c r="G21" s="551">
        <f>IF(ISNUMBER(STDEV(G8:G18)),STDEV(G8:G18),"-")</f>
        <v>1042.2961191523261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57.611341476020733</v>
      </c>
      <c r="AK21" s="251"/>
      <c r="AL21" s="251">
        <f>IF(ISNUMBER(STDEV(AL8:AL18)),STDEV(AL8:AL18),"-")</f>
        <v>0</v>
      </c>
      <c r="AM21" s="253">
        <f>IF(ISNUMBER(STDEV(AM8:AM18)),STDEV(AM8:AM18),"-")</f>
        <v>0</v>
      </c>
      <c r="AN21" s="538">
        <f>IF(ISNUMBER(STDEV(AN8:AN18)),STDEV(AN8:AN18),"-")</f>
        <v>0</v>
      </c>
      <c r="AO21" s="539">
        <f>IF(ISNUMBER(STDEV(AO8:AO18)),STDEV(AO8:AO18),"-")</f>
        <v>3.9661758049048137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VlD7FFZFn7zgQu/Pmr2RK90wy7a2pRk6yQqrBLXewnIFFCQjOYvYVx44RFhNsAQEqA4ZlHObI0Wcx47FZOI0Q==" saltValue="z4Eqoj06QFNEeG1ZD+8L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FhVP+GwiiJy99QOjA+N6O7CQAHt44aKgLcX6/usU/Jwfw6AzPJzSEEO73XbjiHCIZshjymz7NZ3bCRpNyuY/Q==" saltValue="kzlWPfSB8pcWnBUmG/yr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h7kS7juJlVtKei6lHd8Pna9YVwiewRGWqYX3wf6SKvcmNfgYT1lhG2V6FsfdCMdlf2fnQ8FxwFySpj6oFAHw==" saltValue="43gPtgiwr0yBb5aYb6r5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0.2558139534883721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0.18088778123376797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kHxz0qMI2G1zL42z3cE11AxQqm25SMiLT6VYu9EkRR3b34H8TQRTqKTuYfPo0r9GBSRm0NGB8vs5Y0OXziPXA==" saltValue="T3PZiVv5mu9mF5LIXmTL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EPL/U2Q4P0XSmPfPqcat0Cs1mUc2cGyjYac40di/MSFP5JdZhZv5dwYTgp73T/1nsbF0H8Khyv5tCrYOfmBDA==" saltValue="MXqE5cSVbkEb98bWPlS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CARAVACA DE LA CRUZ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65</v>
      </c>
      <c r="D10" s="403">
        <f>IF(ISNUMBER(C10/Datos!BH10),C10/Datos!BH10," - ")</f>
        <v>65</v>
      </c>
      <c r="E10" s="402">
        <f>IF(ISNUMBER(Datos!J10),Datos!J10," - ")</f>
        <v>13</v>
      </c>
      <c r="F10" s="403">
        <f>IF(ISNUMBER(E10/B10),E10/B10," - ")</f>
        <v>13</v>
      </c>
      <c r="G10" s="402">
        <f>IF(ISNUMBER(Datos!K10),Datos!K10," - ")</f>
        <v>14</v>
      </c>
      <c r="H10" s="403">
        <f>IF(ISNUMBER(G10/B10),G10/B10," - ")</f>
        <v>14</v>
      </c>
      <c r="I10" s="402">
        <f>IF(ISNUMBER(Datos!L10),Datos!L10," - ")</f>
        <v>64</v>
      </c>
      <c r="J10" s="403">
        <f>IF(ISNUMBER(I10/B10),I10/B10," - ")</f>
        <v>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2614</v>
      </c>
      <c r="D12" s="403">
        <f>IF(ISNUMBER(C12/Datos!BH12),C12/Datos!BH12," - ")</f>
        <v>871.33333333333337</v>
      </c>
      <c r="E12" s="402">
        <f>IF(ISNUMBER(IF(J_V="SI",Datos!J12,Datos!J12+Datos!Z12)),IF(J_V="SI",Datos!J12,Datos!J12+Datos!Z12)," - ")</f>
        <v>440</v>
      </c>
      <c r="F12" s="403">
        <f>IF(ISNUMBER(E12/B12),E12/B12," - ")</f>
        <v>146.66666666666666</v>
      </c>
      <c r="G12" s="402">
        <f>IF(ISNUMBER(IF(J_V="SI",Datos!K12,Datos!K12+Datos!AA12)),IF(J_V="SI",Datos!K12,Datos!K12+Datos!AA12)," - ")</f>
        <v>502</v>
      </c>
      <c r="H12" s="403">
        <f>IF(ISNUMBER(G12/B12),G12/B12," - ")</f>
        <v>167.33333333333334</v>
      </c>
      <c r="I12" s="402">
        <f>IF(ISNUMBER(IF(J_V="SI",Datos!L12,Datos!L12+Datos!AB12)),IF(J_V="SI",Datos!L12,Datos!L12+Datos!AB12)," - ")</f>
        <v>2565</v>
      </c>
      <c r="J12" s="403">
        <f>IF(ISNUMBER(I12/B12),I12/B12," - ")</f>
        <v>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2679</v>
      </c>
      <c r="D13" s="849" t="str">
        <f>IF(ISNUMBER(C13/Datos!BI13),C13/Datos!BI13," - ")</f>
        <v xml:space="preserve"> - </v>
      </c>
      <c r="E13" s="848">
        <f>SUBTOTAL(9,E8:E12)</f>
        <v>453</v>
      </c>
      <c r="F13" s="849">
        <f>IF(ISNUMBER(E13/B13),E13/B13," - ")</f>
        <v>151</v>
      </c>
      <c r="G13" s="848">
        <f>SUBTOTAL(9,G8:G12)</f>
        <v>516</v>
      </c>
      <c r="H13" s="849">
        <f>IF(ISNUMBER(G13/B13),G13/B13," - ")</f>
        <v>172</v>
      </c>
      <c r="I13" s="848">
        <f>SUBTOTAL(9,I8:I12)</f>
        <v>2629</v>
      </c>
      <c r="J13" s="849">
        <f>IF(ISNUMBER(I13/B13),I13/B13," - ")</f>
        <v>876.33333333333337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1918</v>
      </c>
      <c r="D16" s="403">
        <f>IF(ISNUMBER(C16/Datos!BH16),C16/Datos!BH16," - ")</f>
        <v>639.33333333333337</v>
      </c>
      <c r="E16" s="402">
        <f>IF(ISNUMBER(IF(D_I="SI",Datos!J16,Datos!J16+Datos!AD16)),IF(D_I="SI",Datos!J16,Datos!J16+Datos!AD16)," - ")</f>
        <v>752</v>
      </c>
      <c r="F16" s="403">
        <f>IF(ISNUMBER(E16/B16),E16/B16," - ")</f>
        <v>250.66666666666666</v>
      </c>
      <c r="G16" s="402">
        <f>IF(ISNUMBER(IF(D_I="SI",Datos!K16,Datos!K16+Datos!AE16)),IF(D_I="SI",Datos!K16,Datos!K16+Datos!AE16)," - ")</f>
        <v>772</v>
      </c>
      <c r="H16" s="403">
        <f>IF(ISNUMBER(G16/B16),G16/B16," - ")</f>
        <v>257.33333333333331</v>
      </c>
      <c r="I16" s="402">
        <f>IF(ISNUMBER(IF(D_I="SI",Datos!L16,Datos!L16+Datos!AF16)),IF(D_I="SI",Datos!L16,Datos!L16+Datos!AF16)," - ")</f>
        <v>1895</v>
      </c>
      <c r="J16" s="403">
        <f>IF(ISNUMBER(I16/B16),I16/B16," - ")</f>
        <v>631.66666666666663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149</v>
      </c>
      <c r="D17" s="403">
        <f>IF(ISNUMBER(C17/Datos!BH17),C17/Datos!BH17," - ")</f>
        <v>149</v>
      </c>
      <c r="E17" s="402">
        <f>IF(ISNUMBER(IF(D_I="SI",Datos!J17,Datos!J17+Datos!AD17)),IF(D_I="SI",Datos!J17,Datos!J17+Datos!AD17)," - ")</f>
        <v>51</v>
      </c>
      <c r="F17" s="403">
        <f>IF(ISNUMBER(E17/B17),E17/B17," - ")</f>
        <v>51</v>
      </c>
      <c r="G17" s="402">
        <f>IF(ISNUMBER(IF(D_I="SI",Datos!K17,Datos!K17+Datos!AE17)),IF(D_I="SI",Datos!K17,Datos!K17+Datos!AE17)," - ")</f>
        <v>54</v>
      </c>
      <c r="H17" s="403">
        <f>IF(ISNUMBER(G17/B17),G17/B17," - ")</f>
        <v>54</v>
      </c>
      <c r="I17" s="402">
        <f>IF(ISNUMBER(IF(D_I="SI",Datos!L17,Datos!L17+Datos!AF17)),IF(D_I="SI",Datos!L17,Datos!L17+Datos!AF17)," - ")</f>
        <v>146</v>
      </c>
      <c r="J17" s="403">
        <f>IF(ISNUMBER(I17/B17),I17/B17," - ")</f>
        <v>146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2067</v>
      </c>
      <c r="D18" s="849" t="str">
        <f>IF(ISNUMBER(C18/Datos!BI18),C18/Datos!BI18," - ")</f>
        <v xml:space="preserve"> - </v>
      </c>
      <c r="E18" s="848">
        <f>SUBTOTAL(9,E14:E17)</f>
        <v>803</v>
      </c>
      <c r="F18" s="849">
        <f>IF(ISNUMBER(E18/B18),E18/B18," - ")</f>
        <v>267.66666666666669</v>
      </c>
      <c r="G18" s="848">
        <f>SUBTOTAL(9,G14:G17)</f>
        <v>826</v>
      </c>
      <c r="H18" s="849">
        <f>IF(ISNUMBER(G18/B18),G18/B18," - ")</f>
        <v>275.33333333333331</v>
      </c>
      <c r="I18" s="848">
        <f>SUBTOTAL(9,I14:I17)</f>
        <v>2041</v>
      </c>
      <c r="J18" s="849">
        <f>IF(ISNUMBER(I18/B18),I18/B18," - ")</f>
        <v>680.33333333333337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4746</v>
      </c>
      <c r="D19" s="794" t="str">
        <f>IF(ISNUMBER(C19/Datos!BI19),C19/Datos!BI19," - ")</f>
        <v xml:space="preserve"> - </v>
      </c>
      <c r="E19" s="793">
        <f>SUBTOTAL(9,E9:E18)</f>
        <v>1256</v>
      </c>
      <c r="F19" s="794">
        <f>IF(ISNUMBER(E19/B19),E19/B19," - ")</f>
        <v>418.66666666666669</v>
      </c>
      <c r="G19" s="793">
        <f>SUBTOTAL(9,G9:G18)</f>
        <v>1342</v>
      </c>
      <c r="H19" s="794">
        <f>IF(ISNUMBER(G19/B19),G19/B19," - ")</f>
        <v>447.33333333333331</v>
      </c>
      <c r="I19" s="793">
        <f>SUBTOTAL(9,I9:I18)</f>
        <v>4670</v>
      </c>
      <c r="J19" s="794">
        <f>IF(ISNUMBER(I19/B19),I19/B19," - ")</f>
        <v>1556.6666666666667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5czNMonEdUob4tZjvWViX7lPq/flNCOrZLBZnp2WnLpu7lUj7R82F+i9hAjSrinGyU5V9CuB2nssXsltb4sMA==" saltValue="xfIyqNuwj3bDXhi9Vl1F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65</v>
      </c>
      <c r="G10" s="683">
        <f>IF(ISNUMBER(Datos!I10),Datos!I10," - ")</f>
        <v>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13.714285714285715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131</v>
      </c>
      <c r="AM12" s="689">
        <f>IF(ISNUMBER(Datos!N12+DatosP!N16),Datos!N12+DatosP!N16," - ")</f>
        <v>254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15.328685258964144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-1.0451661067562523E-2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65</v>
      </c>
      <c r="G13" s="937">
        <f t="shared" si="0"/>
        <v>65</v>
      </c>
      <c r="H13" s="937">
        <f t="shared" si="0"/>
        <v>0</v>
      </c>
      <c r="I13" s="939">
        <f t="shared" si="0"/>
        <v>0</v>
      </c>
      <c r="J13" s="938">
        <f t="shared" si="0"/>
        <v>0</v>
      </c>
      <c r="K13" s="938">
        <f t="shared" si="0"/>
        <v>0</v>
      </c>
      <c r="L13" s="940">
        <f t="shared" si="0"/>
        <v>0</v>
      </c>
      <c r="M13" s="940">
        <f t="shared" si="0"/>
        <v>0</v>
      </c>
      <c r="N13" s="938">
        <f t="shared" si="0"/>
        <v>156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180</v>
      </c>
      <c r="AE13" s="938">
        <f t="shared" si="1"/>
        <v>0</v>
      </c>
      <c r="AF13" s="938">
        <f t="shared" si="1"/>
        <v>64</v>
      </c>
      <c r="AG13" s="938">
        <f t="shared" si="1"/>
        <v>0</v>
      </c>
      <c r="AH13" s="938">
        <f t="shared" si="1"/>
        <v>2651</v>
      </c>
      <c r="AI13" s="938">
        <f t="shared" si="1"/>
        <v>0</v>
      </c>
      <c r="AJ13" s="938">
        <f t="shared" si="1"/>
        <v>0</v>
      </c>
      <c r="AK13" s="938">
        <f t="shared" si="1"/>
        <v>0</v>
      </c>
      <c r="AL13" s="938">
        <f t="shared" si="1"/>
        <v>132</v>
      </c>
      <c r="AM13" s="938">
        <f t="shared" si="1"/>
        <v>258</v>
      </c>
      <c r="AN13" s="938">
        <f t="shared" si="1"/>
        <v>0</v>
      </c>
      <c r="AO13" s="938">
        <f t="shared" si="1"/>
        <v>0</v>
      </c>
      <c r="AP13" s="943">
        <f>IF(ISNUMBER(((Datos!L13/Datos!K13)*11)/factor_trimestre),((Datos!L13/Datos!K13)*11)/factor_trimestre," - ")</f>
        <v>15.827368421052633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-0.2153846153846154</v>
      </c>
      <c r="AU13" s="938" t="str">
        <f>IF(ISNUMBER((DatosP!#REF!-DatosP!#REF!+DatosP!#REF!)/(DatosP!#REF!+DatosP!#REF!-DatosP!#REF!-DatosP!#REF!)),(DatosP!#REF!-DatosP!#REF!+DatosP!#REF!)/(DatosP!#REF!+DatosP!#REF!-DatosP!#REF!-DatosP!#REF!)," - ")</f>
        <v xml:space="preserve"> - </v>
      </c>
      <c r="AV13" s="944">
        <f>SUBTOTAL(9,AV9:AV12)</f>
        <v>-1.0451661067562523E-2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7.4128329297820832</v>
      </c>
      <c r="AQ18" s="943">
        <f>IF(ISNUMBER(((Datos!M18/Datos!L18)*11)/factor_trimestre),((Datos!M18/Datos!L18)*11)/factor_trimestre," - ")</f>
        <v>7.7902988731014214E-2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9.6153846153846159E-3</v>
      </c>
      <c r="AW18" s="945">
        <f>IF(ISNUMBER((Datos!Q18-Datos!R18)/(Datos!S18-Datos!Q18+Datos!R18)),(Datos!Q18-Datos!R18)/(Datos!S18-Datos!Q18+Datos!R18)," - ")</f>
        <v>-6.041426927502877E-2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65</v>
      </c>
      <c r="G19" s="950">
        <f t="shared" si="4"/>
        <v>65</v>
      </c>
      <c r="H19" s="950">
        <f t="shared" si="4"/>
        <v>0</v>
      </c>
      <c r="I19" s="951">
        <f t="shared" si="4"/>
        <v>0</v>
      </c>
      <c r="J19" s="952">
        <f t="shared" si="4"/>
        <v>0</v>
      </c>
      <c r="K19" s="952">
        <f t="shared" si="4"/>
        <v>0</v>
      </c>
      <c r="L19" s="952">
        <f t="shared" si="4"/>
        <v>0</v>
      </c>
      <c r="M19" s="952">
        <f t="shared" si="4"/>
        <v>0</v>
      </c>
      <c r="N19" s="951">
        <f t="shared" si="4"/>
        <v>156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180</v>
      </c>
      <c r="AE19" s="956">
        <f t="shared" si="5"/>
        <v>0</v>
      </c>
      <c r="AF19" s="957">
        <f t="shared" si="5"/>
        <v>64</v>
      </c>
      <c r="AG19" s="957">
        <f t="shared" si="5"/>
        <v>0</v>
      </c>
      <c r="AH19" s="957">
        <f t="shared" si="5"/>
        <v>2651</v>
      </c>
      <c r="AI19" s="957">
        <f t="shared" si="5"/>
        <v>0</v>
      </c>
      <c r="AJ19" s="958">
        <f t="shared" si="5"/>
        <v>0</v>
      </c>
      <c r="AK19" s="958">
        <f t="shared" si="5"/>
        <v>0</v>
      </c>
      <c r="AL19" s="950">
        <f t="shared" si="5"/>
        <v>132</v>
      </c>
      <c r="AM19" s="950">
        <f t="shared" si="5"/>
        <v>258</v>
      </c>
      <c r="AN19" s="950">
        <f t="shared" si="5"/>
        <v>0</v>
      </c>
      <c r="AO19" s="950">
        <f t="shared" si="5"/>
        <v>0</v>
      </c>
      <c r="AP19" s="950">
        <f>IF(ISNUMBER(((Datos!L19/Datos!K19)*11)/factor_trimestre),((Datos!L19/Datos!K19)*11)/factor_trimestre," - ")</f>
        <v>10.485011529592622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-0.2153846153846154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-8.9317613433369056E-3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37.527767497325677</v>
      </c>
      <c r="G21" s="736">
        <f>IF(ISNUMBER(STDEV(G8:G18)),STDEV(G8:G18),"-")</f>
        <v>37.527767497325677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75.635088858721303</v>
      </c>
      <c r="AM21" s="735"/>
      <c r="AN21" s="735">
        <f>IF(ISNUMBER(STDEV(AN8:AN18)),STDEV(AN8:AN18),"-")</f>
        <v>0</v>
      </c>
      <c r="AO21" s="741">
        <f>IF(ISNUMBER(STDEV(AO8:AO18)),STDEV(AO8:AO18),"-")</f>
        <v>0</v>
      </c>
      <c r="AP21" s="778">
        <f>IF(ISNUMBER(STDEV(AP8:AP18)),STDEV(AP8:AP18),"-")</f>
        <v>3.8782891646773345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fYOTaFa9jyW2OeH3iVgM4bW/Xknd6cPeLjzElZLZFxhuXSWaEcq3yLi9lWut6kv2NWPwQwjk0Xnej9RkMC/kg==" saltValue="ZGxvhYMBGyZA1QdDNIuf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CARAVACA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K1UG/81OGjoQIKfB9Uc+FhWGttEkr3mcTJYQ02IXuZelEwkn6caiOsbTx7vz1/NYwgEqbyNsDOuOc3WYmgNgg==" saltValue="6uvp9/AY56yPoQebODDA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CARAVACA DE LA CRUZ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4</v>
      </c>
      <c r="G10" s="403">
        <f>IF(ISNUMBER(F10/B10),F10/B10," - ")</f>
        <v>4</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131</v>
      </c>
      <c r="E12" s="403">
        <f t="shared" si="0"/>
        <v>43.666666666666664</v>
      </c>
      <c r="F12" s="402">
        <f>IF(ISNUMBER(Datos!N12),Datos!N12," - ")</f>
        <v>254</v>
      </c>
      <c r="G12" s="403">
        <f t="shared" si="1"/>
        <v>84.666666666666671</v>
      </c>
      <c r="H12" s="402">
        <f>IF(ISNUMBER(Datos!O12),Datos!O12," - ")</f>
        <v>177</v>
      </c>
      <c r="I12" s="403">
        <f t="shared" si="2"/>
        <v>59</v>
      </c>
      <c r="BZ12" s="1185">
        <f>Datos!EZ12</f>
        <v>0</v>
      </c>
    </row>
    <row r="13" spans="1:78" ht="14.25" thickTop="1" thickBot="1">
      <c r="A13" s="847" t="str">
        <f>Datos!A13</f>
        <v>TOTAL</v>
      </c>
      <c r="B13" s="848">
        <f>Datos!AP13</f>
        <v>3</v>
      </c>
      <c r="C13" s="850">
        <f>Datos!AR13</f>
        <v>3</v>
      </c>
      <c r="D13" s="848">
        <f>SUBTOTAL(9,D9:D12)</f>
        <v>132</v>
      </c>
      <c r="E13" s="849">
        <f t="shared" si="0"/>
        <v>44</v>
      </c>
      <c r="F13" s="848">
        <f>SUBTOTAL(9,F9:F12)</f>
        <v>258</v>
      </c>
      <c r="G13" s="849">
        <f t="shared" si="1"/>
        <v>86</v>
      </c>
      <c r="H13" s="848">
        <f>SUBTOTAL(9,H9:H12)</f>
        <v>178</v>
      </c>
      <c r="I13" s="849">
        <f>IF(ISNUMBER(H13/B13),H13/B13," - ")</f>
        <v>59.333333333333336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44</v>
      </c>
      <c r="E16" s="403">
        <f t="shared" si="3"/>
        <v>14.666666666666666</v>
      </c>
      <c r="F16" s="402">
        <f>IF(ISNUMBER(Datos!N16),Datos!N16," - ")</f>
        <v>626</v>
      </c>
      <c r="G16" s="403">
        <f t="shared" si="4"/>
        <v>208.66666666666666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53</v>
      </c>
      <c r="E18" s="849">
        <f t="shared" si="3"/>
        <v>17.666666666666668</v>
      </c>
      <c r="F18" s="848">
        <f>SUBTOTAL(9,F15:F17)</f>
        <v>658</v>
      </c>
      <c r="G18" s="849">
        <f t="shared" si="4"/>
        <v>219.33333333333334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185</v>
      </c>
      <c r="E19" s="794">
        <f>IF(ISNUMBER(D19/B19),D19/B19," - ")</f>
        <v>61.666666666666664</v>
      </c>
      <c r="F19" s="793">
        <f>SUBTOTAL(9,F8:F18)</f>
        <v>916</v>
      </c>
      <c r="G19" s="794">
        <f>IF(ISNUMBER(F19/B19),F19/B19," - ")</f>
        <v>305.33333333333331</v>
      </c>
      <c r="H19" s="793">
        <f>SUBTOTAL(9,H8:H18)</f>
        <v>178</v>
      </c>
      <c r="I19" s="794">
        <f>IF(ISNUMBER(H19/B19),H19/B19," - ")</f>
        <v>59.333333333333336</v>
      </c>
    </row>
    <row r="22" spans="1:78">
      <c r="A22" s="390" t="str">
        <f>Criterios!A4</f>
        <v>Fecha Informe: 17 mar. 2026</v>
      </c>
    </row>
    <row r="27" spans="1:78">
      <c r="A27" s="413"/>
    </row>
  </sheetData>
  <sheetProtection algorithmName="SHA-512" hashValue="zGlg8/jO0lhgIQe3g+hGu3Yl9fgbm4Pk3vrGvYQv2iBDBV4uCMARMZtO1VD+fTV0sNlmnQtbZTAzsrklHnX4iA==" saltValue="OlgZeummSCZQ0pyKPGoP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CARAVACA DE LA CRUZ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152</v>
      </c>
      <c r="C12" s="433">
        <f>IF(ISNUMBER(Datos!Q12),Datos!Q12," - ")</f>
        <v>180</v>
      </c>
      <c r="D12" s="407">
        <f>IF(ISNUMBER(Datos!R12),Datos!R12," - ")</f>
        <v>2651</v>
      </c>
    </row>
    <row r="13" spans="1:4" ht="14.25" thickTop="1" thickBot="1">
      <c r="A13" s="847" t="str">
        <f>Datos!A13</f>
        <v>TOTAL</v>
      </c>
      <c r="B13" s="848">
        <f>SUBTOTAL(9,B9:B12)</f>
        <v>156</v>
      </c>
      <c r="C13" s="852">
        <f>SUBTOTAL(9,C9:C12)</f>
        <v>182</v>
      </c>
      <c r="D13" s="850">
        <f>SUBTOTAL(9,D9:D12)</f>
        <v>2669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105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105</v>
      </c>
    </row>
    <row r="19" spans="1:4" ht="16.5" customHeight="1" thickTop="1" thickBot="1">
      <c r="A19" s="792" t="str">
        <f>Datos!A19</f>
        <v>TOTAL JURISDICCIONES</v>
      </c>
      <c r="B19" s="797">
        <f>SUBTOTAL(9,B8:B18)</f>
        <v>157</v>
      </c>
      <c r="C19" s="798">
        <f>SUBTOTAL(9,C8:C18)</f>
        <v>182</v>
      </c>
      <c r="D19" s="799">
        <f>SUBTOTAL(9,D8:D18)</f>
        <v>2774</v>
      </c>
    </row>
    <row r="20" spans="1:4" ht="7.5" customHeight="1"/>
    <row r="21" spans="1:4" ht="6" customHeight="1"/>
    <row r="22" spans="1:4">
      <c r="A22" s="390" t="str">
        <f>Criterios!A4</f>
        <v>Fecha Informe: 17 mar. 2026</v>
      </c>
    </row>
    <row r="27" spans="1:4">
      <c r="A27" s="413"/>
    </row>
  </sheetData>
  <sheetProtection algorithmName="SHA-512" hashValue="XXtwbsX96ePBRi3PA+5RIQzII/y7j0P9qjkJfDu2nfYIbFwVRV5evEmWUxq6SoSB0jQTAUrt7+zFHkAXvPqntA==" saltValue="eVNDMLigFrHD85Esr8tH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CARAVACA DE LA CRUZ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0.41304347826086957</v>
      </c>
      <c r="C10" s="455">
        <f>IF(ISNUMBER((Datos!J10-Datos!T10)/Datos!T10),(Datos!J10-Datos!T10)/Datos!T10," - ")</f>
        <v>-0.13333333333333333</v>
      </c>
      <c r="D10" s="455">
        <f>IF(ISNUMBER((Datos!K10-Datos!U10)/Datos!U10),(Datos!K10-Datos!U10)/Datos!U10," - ")</f>
        <v>13</v>
      </c>
      <c r="E10" s="455">
        <f>IF(ISNUMBER((Datos!L10-Datos!V10)/Datos!V10),(Datos!L10-Datos!V10)/Datos!V10," - ")</f>
        <v>6.6666666666666666E-2</v>
      </c>
      <c r="F10" s="455" t="str">
        <f>IF(ISNUMBER((Datos!M10-Datos!W10)/Datos!W10),(Datos!M10-Datos!W10)/Datos!W10," - ")</f>
        <v xml:space="preserve"> - </v>
      </c>
      <c r="G10" s="456">
        <f>IF(ISNUMBER((Datos!N10-Datos!X10)/Datos!X10),(Datos!N10-Datos!X10)/Datos!X10," - ")</f>
        <v>3</v>
      </c>
      <c r="H10" s="454">
        <f>IF(ISNUMBER(((NºAsuntos!G10/NºAsuntos!E10)-Datos!BD10)/Datos!BD10),((NºAsuntos!G10/NºAsuntos!E10)-Datos!BD10)/Datos!BD10," - ")</f>
        <v>15.153846153846153</v>
      </c>
      <c r="I10" s="455">
        <f>IF(ISNUMBER(((NºAsuntos!I10/NºAsuntos!G10)-Datos!BE10)/Datos!BE10),((NºAsuntos!I10/NºAsuntos!G10)-Datos!BE10)/Datos!BE10," - ")</f>
        <v>-0.92380952380952386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-0.90866510538641687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9.6016771488469599E-2</v>
      </c>
      <c r="C12" s="455">
        <f>IF(ISNUMBER(
   IF(J_V="SI",(Datos!J12-Datos!T12)/Datos!T12,(Datos!J12+Datos!Z12-(Datos!T12+Datos!AH12))/(Datos!T12+Datos!AH12))
     ),IF(J_V="SI",(Datos!J12-Datos!T12)/Datos!T12,(Datos!J12+Datos!Z12-(Datos!T12+Datos!AH12))/(Datos!T12+Datos!AH12))," - ")</f>
        <v>-0.48356807511737088</v>
      </c>
      <c r="D12" s="455">
        <f>IF(ISNUMBER(
   IF(J_V="SI",(Datos!K12-Datos!U12)/Datos!U12,(Datos!K12+Datos!AA12-(Datos!U12+Datos!AI12))/(Datos!U12+Datos!AI12))
     ),IF(J_V="SI",(Datos!K12-Datos!U12)/Datos!U12,(Datos!K12+Datos!AA12-(Datos!U12+Datos!AI12))/(Datos!U12+Datos!AI12))," - ")</f>
        <v>-0.34889753566796367</v>
      </c>
      <c r="E12" s="455">
        <f>IF(ISNUMBER(
   IF(J_V="SI",(Datos!L12-Datos!V12)/Datos!V12,(Datos!L12+Datos!AB12-(Datos!V12+Datos!AJ12))/(Datos!V12+Datos!AJ12))
     ),IF(J_V="SI",(Datos!L12-Datos!V12)/Datos!V12,(Datos!L12+Datos!AB12-(Datos!V12+Datos!AJ12))/(Datos!V12+Datos!AJ12))," - ")</f>
        <v>4.0145985401459854E-2</v>
      </c>
      <c r="F12" s="455">
        <f>IF(ISNUMBER((Datos!M12-Datos!W12)/Datos!W12),(Datos!M12-Datos!W12)/Datos!W12," - ")</f>
        <v>0</v>
      </c>
      <c r="G12" s="456">
        <f>IF(ISNUMBER((Datos!N12-Datos!X12)/Datos!X12),(Datos!N12-Datos!X12)/Datos!X12," - ")</f>
        <v>-0.44298245614035087</v>
      </c>
      <c r="H12" s="454">
        <f>IF(ISNUMBER(((NºAsuntos!G12/NºAsuntos!E12)-Datos!BD12)/Datos!BD12),((NºAsuntos!G12/NºAsuntos!E12)-Datos!BD12)/Datos!BD12," - ")</f>
        <v>0.26077113547930664</v>
      </c>
      <c r="I12" s="455">
        <f>IF(ISNUMBER(((NºAsuntos!I12/NºAsuntos!G12)-Datos!BE12)/Datos!BE12),((NºAsuntos!I12/NºAsuntos!G12)-Datos!BE12)/Datos!BE12," - ")</f>
        <v>0.59751504929188359</v>
      </c>
      <c r="J12" s="460">
        <f>IF(ISNUMBER((('Resol  Asuntos'!D12/NºAsuntos!G12)-Datos!BF12)/Datos!BF12),(('Resol  Asuntos'!D12/NºAsuntos!G12)-Datos!BF12)/Datos!BF12," - ")</f>
        <v>-0.55877804571188927</v>
      </c>
      <c r="K12" s="461">
        <f>IF(ISNUMBER((((NºAsuntos!C12+NºAsuntos!E12)/NºAsuntos!G12)-Datos!BG12)/Datos!BG12),(((NºAsuntos!C12+NºAsuntos!E12)/NºAsuntos!G12)-Datos!BG12)/Datos!BG12," - ")</f>
        <v>0.44902872292110513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0.10201563142739613</v>
      </c>
      <c r="C13" s="854">
        <f>IF(ISNUMBER(
   IF(J_V="SI",(Datos!J13-Datos!T13)/Datos!T13,(Datos!J13+Datos!Z13-(Datos!T13+Datos!AH13))/(Datos!T13+Datos!AH13))
     ),IF(J_V="SI",(Datos!J13-Datos!T13)/Datos!T13,(Datos!J13+Datos!Z13-(Datos!T13+Datos!AH13))/(Datos!T13+Datos!AH13))," - ")</f>
        <v>-0.47750865051903113</v>
      </c>
      <c r="D13" s="854">
        <f>IF(ISNUMBER(
   IF(J_V="SI",(Datos!K13-Datos!U13)/Datos!U13,(Datos!K13+Datos!AA13-(Datos!U13+Datos!AI13))/(Datos!U13+Datos!AI13))
     ),IF(J_V="SI",(Datos!K13-Datos!U13)/Datos!U13,(Datos!K13+Datos!AA13-(Datos!U13+Datos!AI13))/(Datos!U13+Datos!AI13))," - ")</f>
        <v>-0.33160621761658032</v>
      </c>
      <c r="E13" s="854">
        <f>IF(ISNUMBER(
   IF(J_V="SI",(Datos!L13-Datos!V13)/Datos!V13,(Datos!L13+Datos!AB13-(Datos!V13+Datos!AJ13))/(Datos!V13+Datos!AJ13))
     ),IF(J_V="SI",(Datos!L13-Datos!V13)/Datos!V13,(Datos!L13+Datos!AB13-(Datos!V13+Datos!AJ13))/(Datos!V13+Datos!AJ13))," - ")</f>
        <v>4.0775930324623913E-2</v>
      </c>
      <c r="F13" s="855">
        <f>IF(ISNUMBER((Datos!M13-Datos!W13)/Datos!W13),(Datos!M13-Datos!W13)/Datos!W13," - ")</f>
        <v>7.6335877862595417E-3</v>
      </c>
      <c r="G13" s="856">
        <f>IF(ISNUMBER((Datos!N13-Datos!X13)/Datos!X13),(Datos!N13-Datos!X13)/Datos!X13," - ")</f>
        <v>-0.43544857768052514</v>
      </c>
      <c r="H13" s="856">
        <f>IF(ISNUMBER(((NºAsuntos!G13/NºAsuntos!E13)-Datos!BD13)/Datos!BD13),((NºAsuntos!G13/NºAsuntos!E13)-Datos!BD13)/Datos!BD13," - ")</f>
        <v>0.27924372919740592</v>
      </c>
      <c r="I13" s="856">
        <f>IF(ISNUMBER(((NºAsuntos!I13/NºAsuntos!G13)-Datos!BE13)/Datos!BE13),((NºAsuntos!I13/NºAsuntos!G13)-Datos!BE13)/Datos!BE13," - ")</f>
        <v>0.55712988025311938</v>
      </c>
      <c r="J13" s="856">
        <f>IF(ISNUMBER((('Resol  Asuntos'!D13/NºAsuntos!G13)-Datos!BF13)/Datos!BF13),(('Resol  Asuntos'!D13/NºAsuntos!G13)-Datos!BF13)/Datos!BF13," - ")</f>
        <v>-0.56691146470828235</v>
      </c>
      <c r="K13" s="856">
        <f>IF(ISNUMBER((((NºAsuntos!C13+NºAsuntos!E13)/NºAsuntos!G13)-Datos!BG13)/Datos!BG13),(((NºAsuntos!C13+NºAsuntos!E13)/NºAsuntos!G13)-Datos!BG13)/Datos!BG13," - ")</f>
        <v>0.42081881901645818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0.28811282740094024</v>
      </c>
      <c r="C16" s="455">
        <f>IF(ISNUMBER(
   IF(D_I="SI",(Datos!J16-Datos!T16)/Datos!T16,(Datos!J16+Datos!AD16-(Datos!T16+Datos!AL16))/(Datos!T16+Datos!AL16))
     ),IF(D_I="SI",(Datos!J16-Datos!T16)/Datos!T16,(Datos!J16+Datos!AD16-(Datos!T16+Datos!AL16))/(Datos!T16+Datos!AL16))," - ")</f>
        <v>0.40823970037453183</v>
      </c>
      <c r="D16" s="455">
        <f>IF(ISNUMBER(
   IF(D_I="SI",(Datos!K16-Datos!U16)/Datos!U16,(Datos!K16+Datos!AE16-(Datos!U16+Datos!AM16))/(Datos!U16+Datos!AM16))
     ),IF(D_I="SI",(Datos!K16-Datos!U16)/Datos!U16,(Datos!K16+Datos!AE16-(Datos!U16+Datos!AM16))/(Datos!U16+Datos!AM16))," - ")</f>
        <v>0.55959595959595965</v>
      </c>
      <c r="E16" s="455">
        <f>IF(ISNUMBER(
   IF(D_I="SI",(Datos!L16-Datos!V16)/Datos!V16,(Datos!L16+Datos!AF16-(Datos!V16+Datos!AN16))/(Datos!V16+Datos!AN16))
     ),IF(D_I="SI",(Datos!L16-Datos!V16)/Datos!V16,(Datos!L16+Datos!AF16-(Datos!V16+Datos!AN16))/(Datos!V16+Datos!AN16))," - ")</f>
        <v>0.28911564625850339</v>
      </c>
      <c r="F16" s="455">
        <f>IF(ISNUMBER((Datos!M16-Datos!W16)/Datos!W16),(Datos!M16-Datos!W16)/Datos!W16," - ")</f>
        <v>-0.25423728813559321</v>
      </c>
      <c r="G16" s="456">
        <f>IF(ISNUMBER((Datos!N16-Datos!X16)/Datos!X16),(Datos!N16-Datos!X16)/Datos!X16," - ")</f>
        <v>0.76836158192090398</v>
      </c>
      <c r="H16" s="454">
        <f>IF(ISNUMBER(((NºAsuntos!G16/NºAsuntos!E16)-Datos!BD16)/Datos!BD16),((NºAsuntos!G16/NºAsuntos!E16)-Datos!BD16)/Datos!BD16," - ")</f>
        <v>0.10747904577691814</v>
      </c>
      <c r="I16" s="455">
        <f>IF(ISNUMBER(((NºAsuntos!I16/NºAsuntos!G16)-Datos!BE16)/Datos!BE16),((NºAsuntos!I16/NºAsuntos!G16)-Datos!BE16)/Datos!BE16," - ")</f>
        <v>-0.17342973458813585</v>
      </c>
      <c r="J16" s="460">
        <f>IF(ISNUMBER((('Resol  Asuntos'!D16/NºAsuntos!G16)-Datos!BF16)/Datos!BF16),(('Resol  Asuntos'!D16/NºAsuntos!G16)-Datos!BF16)/Datos!BF16," - ")</f>
        <v>-0.52182313164134542</v>
      </c>
      <c r="K16" s="461">
        <f>IF(ISNUMBER((((NºAsuntos!C16+NºAsuntos!E16)/NºAsuntos!G16)-Datos!BG16)/Datos!BG16),(((NºAsuntos!C16+NºAsuntos!E16)/NºAsuntos!G16)-Datos!BG16)/Datos!BG16," - ")</f>
        <v>-0.15374104533614735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3.4722222222222224E-2</v>
      </c>
      <c r="C17" s="455">
        <f>IF(ISNUMBER(
   IF(D_I="SI",(Datos!J17-Datos!T17)/Datos!T17,(Datos!J17+Datos!AD17-(Datos!T17+Datos!AL17))/(Datos!T17+Datos!AL17))
     ),IF(D_I="SI",(Datos!J17-Datos!T17)/Datos!T17,(Datos!J17+Datos!AD17-(Datos!T17+Datos!AL17))/(Datos!T17+Datos!AL17))," - ")</f>
        <v>-0.17741935483870969</v>
      </c>
      <c r="D17" s="455">
        <f>IF(ISNUMBER(
   IF(D_I="SI",(Datos!K17-Datos!U17)/Datos!U17,(Datos!K17+Datos!AE17-(Datos!U17+Datos!AM17))/(Datos!U17+Datos!AM17))
     ),IF(D_I="SI",(Datos!K17-Datos!U17)/Datos!U17,(Datos!K17+Datos!AE17-(Datos!U17+Datos!AM17))/(Datos!U17+Datos!AM17))," - ")</f>
        <v>0.22727272727272727</v>
      </c>
      <c r="E17" s="455">
        <f>IF(ISNUMBER(
   IF(D_I="SI",(Datos!L17-Datos!V17)/Datos!V17,(Datos!L17+Datos!AF17-(Datos!V17+Datos!AN17))/(Datos!V17+Datos!AN17))
     ),IF(D_I="SI",(Datos!L17-Datos!V17)/Datos!V17,(Datos!L17+Datos!AF17-(Datos!V17+Datos!AN17))/(Datos!V17+Datos!AN17))," - ")</f>
        <v>-9.8765432098765427E-2</v>
      </c>
      <c r="F17" s="455">
        <f>IF(ISNUMBER((Datos!M17-Datos!W17)/Datos!W17),(Datos!M17-Datos!W17)/Datos!W17," - ")</f>
        <v>-0.25</v>
      </c>
      <c r="G17" s="456">
        <f>IF(ISNUMBER((Datos!N17-Datos!X17)/Datos!X17),(Datos!N17-Datos!X17)/Datos!X17," - ")</f>
        <v>0.52380952380952384</v>
      </c>
      <c r="H17" s="454">
        <f>IF(ISNUMBER(((NºAsuntos!G17/NºAsuntos!E17)-Datos!BD17)/Datos!BD17),((NºAsuntos!G17/NºAsuntos!E17)-Datos!BD17)/Datos!BD17," - ")</f>
        <v>0.49197860962566842</v>
      </c>
      <c r="I17" s="455">
        <f>IF(ISNUMBER(((NºAsuntos!I17/NºAsuntos!G17)-Datos!BE17)/Datos!BE17),((NºAsuntos!I17/NºAsuntos!G17)-Datos!BE17)/Datos!BE17," - ")</f>
        <v>-0.26566072245084588</v>
      </c>
      <c r="J17" s="460">
        <f>IF(ISNUMBER((('Resol  Asuntos'!D17/NºAsuntos!G17)-Datos!BF17)/Datos!BF17),(('Resol  Asuntos'!D17/NºAsuntos!G17)-Datos!BF17)/Datos!BF17," - ")</f>
        <v>-0.3888888888888889</v>
      </c>
      <c r="K17" s="461">
        <f>IF(ISNUMBER((((NºAsuntos!C17+NºAsuntos!E17)/NºAsuntos!G17)-Datos!BG17)/Datos!BG17),(((NºAsuntos!C17+NºAsuntos!E17)/NºAsuntos!G17)-Datos!BG17)/Datos!BG17," - ")</f>
        <v>-0.20891765551959723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0.26576852418860991</v>
      </c>
      <c r="C18" s="854">
        <f>IF(ISNUMBER(
   IF(Criterios!B14="SI",(Datos!J18-Datos!T18)/Datos!T18,(Datos!J18+Datos!AD18-(Datos!T18+Datos!AL18))/(Datos!T18+Datos!AL18))
     ),IF(Criterios!B14="SI",(Datos!J18-Datos!T18)/Datos!T18,(Datos!J18+Datos!AD18-(Datos!T18+Datos!AL18))/(Datos!T18+Datos!AL18))," - ")</f>
        <v>0.34731543624161076</v>
      </c>
      <c r="D18" s="854">
        <f>IF(ISNUMBER(
   IF(Criterios!B14="SI",(Datos!K18-Datos!U18)/Datos!U18,(Datos!K18+Datos!AE18-(Datos!U18+Datos!AM18))/(Datos!U18+Datos!AM18))
     ),IF(Criterios!B14="SI",(Datos!K18-Datos!U18)/Datos!U18,(Datos!K18+Datos!AE18-(Datos!U18+Datos!AM18))/(Datos!U18+Datos!AM18))," - ")</f>
        <v>0.53246753246753242</v>
      </c>
      <c r="E18" s="854">
        <f>IF(ISNUMBER(
   IF(Criterios!B14="SI",(Datos!L18-Datos!V18)/Datos!V18,(Datos!L18+Datos!AF18-(Datos!V18+Datos!AN18))/(Datos!V18+Datos!AN18))
     ),IF(Criterios!B14="SI",(Datos!L18-Datos!V18)/Datos!V18,(Datos!L18+Datos!AF18-(Datos!V18+Datos!AN18))/(Datos!V18+Datos!AN18))," - ")</f>
        <v>0.25061274509803921</v>
      </c>
      <c r="F18" s="855">
        <f>IF(ISNUMBER((Datos!M18-Datos!W18)/Datos!W18),(Datos!M18-Datos!W18)/Datos!W18," - ")</f>
        <v>-0.25352112676056338</v>
      </c>
      <c r="G18" s="856">
        <f>IF(ISNUMBER((Datos!N18-Datos!X18)/Datos!X18),(Datos!N18-Datos!X18)/Datos!X18," - ")</f>
        <v>0.75466666666666671</v>
      </c>
      <c r="H18" s="856">
        <f>IF(ISNUMBER(((NºAsuntos!G18/NºAsuntos!E18)-Datos!BD18)/Datos!BD18),((NºAsuntos!G18/NºAsuntos!E18)-Datos!BD18)/Datos!BD18," - ")</f>
        <v>0.13742297553007379</v>
      </c>
      <c r="I18" s="856">
        <f>IF(ISNUMBER(((NºAsuntos!I18/NºAsuntos!G18)-Datos!BE18)/Datos!BE18),((NºAsuntos!I18/NºAsuntos!G18)-Datos!BE18)/Datos!BE18," - ")</f>
        <v>-0.1839221917580591</v>
      </c>
      <c r="J18" s="856">
        <f>IF(ISNUMBER((('Resol  Asuntos'!D18/NºAsuntos!G18)-Datos!BF18)/Datos!BF18),(('Resol  Asuntos'!D18/NºAsuntos!G18)-Datos!BF18)/Datos!BF18," - ")</f>
        <v>-0.51289090475053711</v>
      </c>
      <c r="K18" s="856">
        <f>IF(ISNUMBER((((NºAsuntos!C18+NºAsuntos!E18)/NºAsuntos!G18)-Datos!BG18)/Datos!BG18),(((NºAsuntos!C18+NºAsuntos!E18)/NºAsuntos!G18)-Datos!BG18)/Datos!BG18," - ")</f>
        <v>-0.15980412284903919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0.16781496062992127</v>
      </c>
      <c r="C19" s="801">
        <f>IF(ISNUMBER(
   IF(J_V="SI",(Datos!J19-Datos!T19)/Datos!T19,(Datos!J19+Datos!Z19-(Datos!T19+Datos!AH19))/(Datos!T19+Datos!AH19))
     ),IF(J_V="SI",(Datos!J19-Datos!T19)/Datos!T19,(Datos!J19+Datos!Z19-(Datos!T19+Datos!AH19))/(Datos!T19+Datos!AH19))," - ")</f>
        <v>-0.14149008885850992</v>
      </c>
      <c r="D19" s="801">
        <f>IF(ISNUMBER(
   IF(J_V="SI",(Datos!K19-Datos!U19)/Datos!U19,(Datos!K19+Datos!AA19-(Datos!U19+Datos!AI19))/(Datos!U19+Datos!AI19))
     ),IF(J_V="SI",(Datos!K19-Datos!U19)/Datos!U19,(Datos!K19+Datos!AA19-(Datos!U19+Datos!AI19))/(Datos!U19+Datos!AI19))," - ")</f>
        <v>2.364607170099161E-2</v>
      </c>
      <c r="E19" s="801">
        <f>IF(ISNUMBER(
   IF(J_V="SI",(Datos!L19-Datos!V19)/Datos!V19,(Datos!L19+Datos!AB19-(Datos!V19+Datos!AJ19))/(Datos!V19+Datos!AJ19))
     ),IF(J_V="SI",(Datos!L19-Datos!V19)/Datos!V19,(Datos!L19+Datos!AB19-(Datos!V19+Datos!AJ19))/(Datos!V19+Datos!AJ19))," - ")</f>
        <v>0.12313612313612314</v>
      </c>
      <c r="F19" s="802">
        <f>IF(ISNUMBER((Datos!M19-Datos!W19)/Datos!W19),(Datos!M19-Datos!W19)/Datos!W19," - ")</f>
        <v>-8.4158415841584164E-2</v>
      </c>
      <c r="G19" s="803">
        <f>IF(ISNUMBER((Datos!N19-Datos!X19)/Datos!X19),(Datos!N19-Datos!X19)/Datos!X19," - ")</f>
        <v>0.10096153846153846</v>
      </c>
      <c r="H19" s="804">
        <f>IF(ISNUMBER((Tasas!B19-Datos!BD19)/Datos!BD19),(Tasas!B19-Datos!BD19)/Datos!BD19," - ")</f>
        <v>0.19235207237145754</v>
      </c>
      <c r="I19" s="805">
        <f>IF(ISNUMBER((Tasas!C19-Datos!BE19)/Datos!BE19),(Tasas!C19-Datos!BE19)/Datos!BE19," - ")</f>
        <v>9.7191846074111396E-2</v>
      </c>
      <c r="J19" s="806">
        <f>IF(ISNUMBER((Tasas!D19-Datos!BF19)/Datos!BF19),(Tasas!D19-Datos!BF19)/Datos!BF19," - ")</f>
        <v>-0.6570654125791463</v>
      </c>
      <c r="K19" s="806">
        <f>IF(ISNUMBER((Tasas!E19-Datos!BG19)/Datos!BG19),(Tasas!E19-Datos!BG19)/Datos!BG19," - ")</f>
        <v>6.0856648179091949E-2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zWMZStVuXUuWIEOdBhCVR8yBsnt3gjioJRsNeAJgS/w0fOfwD5arKsrYT/Q85MDwWByo5LKG4nGPmD3upHupw==" saltValue="pdqeVgx2Fv8T/FSoWfqK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CARAVACA DE LA CRUZ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1.0769230769230769</v>
      </c>
      <c r="C10" s="442">
        <f>IF(ISNUMBER(NºAsuntos!I10/NºAsuntos!G10),NºAsuntos!I10/NºAsuntos!G10," - ")</f>
        <v>4.5714285714285712</v>
      </c>
      <c r="D10" s="443">
        <f>IF(ISNUMBER('Resol  Asuntos'!D10/NºAsuntos!G10),'Resol  Asuntos'!D10/NºAsuntos!G10," - ")</f>
        <v>7.1428571428571425E-2</v>
      </c>
      <c r="E10" s="444">
        <f>IF(ISNUMBER((NºAsuntos!C10+NºAsuntos!E10)/NºAsuntos!G10),(NºAsuntos!C10+NºAsuntos!E10)/NºAsuntos!G10," - ")</f>
        <v>5.5714285714285712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1.1409090909090909</v>
      </c>
      <c r="C12" s="442">
        <f>IF(ISNUMBER(NºAsuntos!I12/NºAsuntos!G12),NºAsuntos!I12/NºAsuntos!G12," - ")</f>
        <v>5.1095617529880482</v>
      </c>
      <c r="D12" s="443">
        <f>IF(ISNUMBER('Resol  Asuntos'!D12/NºAsuntos!G12),'Resol  Asuntos'!D12/NºAsuntos!G12," - ")</f>
        <v>0.26095617529880477</v>
      </c>
      <c r="E12" s="444">
        <f>IF(ISNUMBER((NºAsuntos!C12+NºAsuntos!E12)/NºAsuntos!G12),(NºAsuntos!C12+NºAsuntos!E12)/NºAsuntos!G12," - ")</f>
        <v>6.0836653386454183</v>
      </c>
      <c r="G12" s="462"/>
    </row>
    <row r="13" spans="1:7" ht="14.25" thickTop="1" thickBot="1">
      <c r="A13" s="847" t="str">
        <f>Datos!A13</f>
        <v>TOTAL</v>
      </c>
      <c r="B13" s="857">
        <f>IF(ISNUMBER(NºAsuntos!G13/NºAsuntos!E13),NºAsuntos!G13/NºAsuntos!E13," - ")</f>
        <v>1.1390728476821192</v>
      </c>
      <c r="C13" s="858">
        <f>IF(ISNUMBER(NºAsuntos!I13/NºAsuntos!G13),NºAsuntos!I13/NºAsuntos!G13," - ")</f>
        <v>5.0949612403100772</v>
      </c>
      <c r="D13" s="859">
        <f>IF(ISNUMBER('Resol  Asuntos'!D13/NºAsuntos!G13),'Resol  Asuntos'!D13/NºAsuntos!G13," - ")</f>
        <v>0.2558139534883721</v>
      </c>
      <c r="E13" s="860">
        <f>IF(ISNUMBER((NºAsuntos!C13+NºAsuntos!E13)/NºAsuntos!G13),(NºAsuntos!C13+NºAsuntos!E13)/NºAsuntos!G13," - ")</f>
        <v>6.0697674418604652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1.0265957446808511</v>
      </c>
      <c r="C16" s="442">
        <f>IF(ISNUMBER(NºAsuntos!I16/NºAsuntos!G16),NºAsuntos!I16/NºAsuntos!G16," - ")</f>
        <v>2.454663212435233</v>
      </c>
      <c r="D16" s="443">
        <f>IF(ISNUMBER('Resol  Asuntos'!D16/NºAsuntos!G16),'Resol  Asuntos'!D16/NºAsuntos!G16," - ")</f>
        <v>5.6994818652849742E-2</v>
      </c>
      <c r="E16" s="444">
        <f>IF(ISNUMBER((NºAsuntos!C16+NºAsuntos!E16)/NºAsuntos!G16),(NºAsuntos!C16+NºAsuntos!E16)/NºAsuntos!G16," - ")</f>
        <v>3.4585492227979273</v>
      </c>
      <c r="G16" s="462"/>
    </row>
    <row r="17" spans="1:7" ht="21.75" thickBot="1">
      <c r="A17" s="401" t="str">
        <f>Datos!A17</f>
        <v>Jdos. Violencia contra la mujer/Secc Viol. TI.</v>
      </c>
      <c r="B17" s="441">
        <f>IF(ISNUMBER(NºAsuntos!G17/NºAsuntos!E17),NºAsuntos!G17/NºAsuntos!E17," - ")</f>
        <v>1.0588235294117647</v>
      </c>
      <c r="C17" s="442">
        <f>IF(ISNUMBER(NºAsuntos!I17/NºAsuntos!G17),NºAsuntos!I17/NºAsuntos!G17," - ")</f>
        <v>2.7037037037037037</v>
      </c>
      <c r="D17" s="443">
        <f>IF(ISNUMBER('Resol  Asuntos'!D17/NºAsuntos!G17),'Resol  Asuntos'!D17/NºAsuntos!G17," - ")</f>
        <v>0.16666666666666666</v>
      </c>
      <c r="E17" s="444">
        <f>IF(ISNUMBER((NºAsuntos!C17+NºAsuntos!E17)/NºAsuntos!G17),(NºAsuntos!C17+NºAsuntos!E17)/NºAsuntos!G17," - ")</f>
        <v>3.7037037037037037</v>
      </c>
      <c r="G17" s="462"/>
    </row>
    <row r="18" spans="1:7" ht="14.25" thickTop="1" thickBot="1">
      <c r="A18" s="847" t="str">
        <f>Datos!A18</f>
        <v>TOTAL</v>
      </c>
      <c r="B18" s="857">
        <f>IF(ISNUMBER(NºAsuntos!G18/NºAsuntos!E18),NºAsuntos!G18/NºAsuntos!E18," - ")</f>
        <v>1.0286425902864258</v>
      </c>
      <c r="C18" s="858">
        <f>IF(ISNUMBER(NºAsuntos!I18/NºAsuntos!G18),NºAsuntos!I18/NºAsuntos!G18," - ")</f>
        <v>2.4709443099273609</v>
      </c>
      <c r="D18" s="861">
        <f>IF(ISNUMBER('Resol  Asuntos'!D18/NºAsuntos!G18),'Resol  Asuntos'!D18/NºAsuntos!G18," - ")</f>
        <v>6.4164648910411626E-2</v>
      </c>
      <c r="E18" s="860">
        <f>IF(ISNUMBER((NºAsuntos!C18+NºAsuntos!E18)/NºAsuntos!G18),(NºAsuntos!C18+NºAsuntos!E18)/NºAsuntos!G18," - ")</f>
        <v>3.4745762711864407</v>
      </c>
      <c r="G18" s="462"/>
    </row>
    <row r="19" spans="1:7" ht="15.75" customHeight="1" thickTop="1" thickBot="1">
      <c r="A19" s="792" t="str">
        <f>Datos!A19</f>
        <v>TOTAL JURISDICCIONES</v>
      </c>
      <c r="B19" s="807">
        <f>IF(ISNUMBER(NºAsuntos!G19/NºAsuntos!E19),NºAsuntos!G19/NºAsuntos!E19," - ")</f>
        <v>1.0684713375796178</v>
      </c>
      <c r="C19" s="808">
        <f>IF(ISNUMBER(NºAsuntos!I19/NºAsuntos!G19),NºAsuntos!I19/NºAsuntos!G19," - ")</f>
        <v>3.4798807749627421</v>
      </c>
      <c r="D19" s="809">
        <f>IF(ISNUMBER('Resol  Asuntos'!D19/NºAsuntos!G19),'Resol  Asuntos'!D19/NºAsuntos!G19," - ")</f>
        <v>0.13785394932935915</v>
      </c>
      <c r="E19" s="810">
        <f>IF(ISNUMBER((NºAsuntos!C19+NºAsuntos!E19)/NºAsuntos!G19),(NºAsuntos!C19+NºAsuntos!E19)/NºAsuntos!G19," - ")</f>
        <v>4.4724292101341279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nSgXIJmrozvfEiHjJdvuxCL4NV7zfnmkXbcKv90Yil4btaqJx6wnapV1gofCGwiXZ4OCChdoRrAH4WyHcSiJw==" saltValue="NFS0a2EFr2WAqE4uNk5J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CARAVACA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2</v>
      </c>
      <c r="Y10" s="333">
        <f t="shared" ref="Y10:Y12" si="0">SUM(W10:X10)</f>
        <v>16</v>
      </c>
      <c r="Z10" s="334" t="str">
        <f>IF(ISNUMBER(Datos!CC10),Datos!CC10," - ")</f>
        <v xml:space="preserve"> - </v>
      </c>
      <c r="AA10" s="331">
        <f>IF(ISNUMBER(Datos!L10),Datos!L10,"-")</f>
        <v>64</v>
      </c>
      <c r="AB10" s="333">
        <f>IF(ISNUMBER(Datos!R10),Datos!R10," - ")</f>
        <v>18</v>
      </c>
      <c r="AC10" s="333">
        <f t="shared" ref="AC10:AC12" si="1">IF(ISNUMBER(AA10+AB10),AA10+AB10," - ")</f>
        <v>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1.0769230769230769</v>
      </c>
      <c r="AM10" s="259">
        <f>IF(ISNUMBER(((NºAsuntos!I10/NºAsuntos!G10)*11)/factor_trimestre),((NºAsuntos!I10/NºAsuntos!G10)*11)/factor_trimestre," - ")</f>
        <v>13.714285714285715</v>
      </c>
      <c r="AN10" s="243">
        <f>IF(ISNUMBER('Resol  Asuntos'!D10/NºAsuntos!G10),'Resol  Asuntos'!D10/NºAsuntos!G10," - ")</f>
        <v>7.1428571428571425E-2</v>
      </c>
      <c r="AO10" s="244">
        <f>IF(ISNUMBER((NºAsuntos!C10+NºAsuntos!E10)/NºAsuntos!G10),(NºAsuntos!C10+NºAsuntos!E10)/NºAsuntos!G10," - ")</f>
        <v>5.5714285714285712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180</v>
      </c>
      <c r="Y12" s="333">
        <f t="shared" si="0"/>
        <v>180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v>
      </c>
      <c r="AJ12" s="228" t="str">
        <f>IF(ISNUMBER(Datos!BW12),Datos!BW12," - ")</f>
        <v xml:space="preserve"> - </v>
      </c>
      <c r="AK12" s="227" t="str">
        <f>IF(ISNUMBER(Datos!BX12),Datos!BX12," - ")</f>
        <v xml:space="preserve"> - </v>
      </c>
      <c r="AL12" s="242">
        <f>IF(ISNUMBER(NºAsuntos!G12/NºAsuntos!E12),NºAsuntos!G12/NºAsuntos!E12," - ")</f>
        <v>1.1409090909090909</v>
      </c>
      <c r="AM12" s="259">
        <f>IF(ISNUMBER(((NºAsuntos!I12/NºAsuntos!G12)*11)/factor_trimestre),((NºAsuntos!I12/NºAsuntos!G12)*11)/factor_trimestre," - ")</f>
        <v>15.328685258964144</v>
      </c>
      <c r="AN12" s="243">
        <f>IF(ISNUMBER('Resol  Asuntos'!D12/NºAsuntos!G12),'Resol  Asuntos'!D12/NºAsuntos!G12," - ")</f>
        <v>0.26095617529880477</v>
      </c>
      <c r="AO12" s="244">
        <f>IF(ISNUMBER((NºAsuntos!C12+NºAsuntos!E12)/NºAsuntos!G12),(NºAsuntos!C12+NºAsuntos!E12)/NºAsuntos!G12," - ")</f>
        <v>6.0836653386454183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65</v>
      </c>
      <c r="G13" s="865">
        <f t="shared" si="3"/>
        <v>65</v>
      </c>
      <c r="H13" s="864">
        <f t="shared" si="3"/>
        <v>0</v>
      </c>
      <c r="I13" s="866">
        <f t="shared" si="3"/>
        <v>0</v>
      </c>
      <c r="J13" s="866">
        <f t="shared" si="3"/>
        <v>0</v>
      </c>
      <c r="K13" s="866">
        <f t="shared" si="3"/>
        <v>0</v>
      </c>
      <c r="L13" s="866">
        <f t="shared" si="3"/>
        <v>156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182</v>
      </c>
      <c r="Y13" s="867">
        <f t="shared" si="4"/>
        <v>196</v>
      </c>
      <c r="Z13" s="867">
        <f t="shared" si="4"/>
        <v>0</v>
      </c>
      <c r="AA13" s="867">
        <f t="shared" si="4"/>
        <v>64</v>
      </c>
      <c r="AB13" s="867">
        <f t="shared" si="4"/>
        <v>2669</v>
      </c>
      <c r="AC13" s="867">
        <f t="shared" si="4"/>
        <v>82</v>
      </c>
      <c r="AD13" s="867">
        <f t="shared" si="4"/>
        <v>0</v>
      </c>
      <c r="AE13" s="871">
        <f t="shared" si="4"/>
        <v>0</v>
      </c>
      <c r="AF13" s="864">
        <f t="shared" si="4"/>
        <v>0</v>
      </c>
      <c r="AG13" s="872">
        <f t="shared" si="4"/>
        <v>0</v>
      </c>
      <c r="AH13" s="869">
        <f t="shared" si="4"/>
        <v>0</v>
      </c>
      <c r="AI13" s="864">
        <f t="shared" si="4"/>
        <v>132</v>
      </c>
      <c r="AJ13" s="866">
        <f t="shared" si="4"/>
        <v>0</v>
      </c>
      <c r="AK13" s="869">
        <f>SUBTOTAL(9,AK9:AK12)</f>
        <v>0</v>
      </c>
      <c r="AL13" s="873">
        <f>IF(ISNUMBER(NºAsuntos!G13/NºAsuntos!E13),NºAsuntos!G13/NºAsuntos!E13," - ")</f>
        <v>1.1390728476821192</v>
      </c>
      <c r="AM13" s="873">
        <f>IF(ISNUMBER(((NºAsuntos!I13/NºAsuntos!G13)*11)/factor_trimestre),((NºAsuntos!I13/NºAsuntos!G13)*11)/factor_trimestre," - ")</f>
        <v>15.284883720930232</v>
      </c>
      <c r="AN13" s="874">
        <f>IF(ISNUMBER('Resol  Asuntos'!D13/NºAsuntos!G13),'Resol  Asuntos'!D13/NºAsuntos!G13," - ")</f>
        <v>0.2558139534883721</v>
      </c>
      <c r="AO13" s="875">
        <f>IF(ISNUMBER((NºAsuntos!C13+NºAsuntos!E13)/NºAsuntos!G13),(NºAsuntos!C13+NºAsuntos!E13)/NºAsuntos!G13," - ")</f>
        <v>6.0697674418604652</v>
      </c>
      <c r="AP13" s="876" t="str">
        <f t="shared" si="2"/>
        <v xml:space="preserve"> - </v>
      </c>
      <c r="AQ13" s="876">
        <f>IF(ISNUMBER((H13-W13+K13)/(F13)),(H13-W13+K13)/(F13)," - ")</f>
        <v>-0.2153846153846154</v>
      </c>
      <c r="AR13" s="877">
        <f>IF(ISNUMBER((Datos!P13-Datos!Q13)/(Datos!R13-Datos!P13+Datos!Q13)),(Datos!P13-Datos!Q13)/(Datos!R13-Datos!P13+Datos!Q13)," - ")</f>
        <v>-9.6474953617810763E-3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1915</v>
      </c>
      <c r="G16" s="332">
        <f>IF(ISNUMBER(IF(D_I="SI",Datos!I16,Datos!I16+Datos!AC16)),IF(D_I="SI",Datos!I16,Datos!I16+Datos!AC16)," - ")</f>
        <v>1918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772</v>
      </c>
      <c r="X16" s="225">
        <f>IF(ISNUMBER(Datos!Q16),Datos!Q16," - ")</f>
        <v>0</v>
      </c>
      <c r="Y16" s="333">
        <f t="shared" ref="Y16:Y17" si="7">SUM(W16:X16)</f>
        <v>772</v>
      </c>
      <c r="Z16" s="334" t="str">
        <f>IF(ISNUMBER(Datos!CC16),Datos!CC16," - ")</f>
        <v xml:space="preserve"> - </v>
      </c>
      <c r="AA16" s="331">
        <f>IF(ISNUMBER(IF(D_I="SI",Datos!L16,Datos!L16+Datos!AF16)),IF(D_I="SI",Datos!L16,Datos!L16+Datos!AF16)," - ")</f>
        <v>1895</v>
      </c>
      <c r="AB16" s="333">
        <f>IF(ISNUMBER(Datos!R16),Datos!R16," - ")</f>
        <v>105</v>
      </c>
      <c r="AC16" s="333">
        <f t="shared" si="6"/>
        <v>2000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1.0265957446808511</v>
      </c>
      <c r="AM16" s="259">
        <f>IF(ISNUMBER(((NºAsuntos!I16/NºAsuntos!G16)*11)/factor_trimestre),((NºAsuntos!I16/NºAsuntos!G16)*11)/factor_trimestre," - ")</f>
        <v>7.3639896373056999</v>
      </c>
      <c r="AN16" s="243">
        <f>IF(ISNUMBER('Resol  Asuntos'!D16/NºAsuntos!G16),'Resol  Asuntos'!D16/NºAsuntos!G16," - ")</f>
        <v>5.6994818652849742E-2</v>
      </c>
      <c r="AO16" s="244">
        <f>IF(ISNUMBER((NºAsuntos!C16+NºAsuntos!E16)/NºAsuntos!G16),(NºAsuntos!C16+NºAsuntos!E16)/NºAsuntos!G16," - ")</f>
        <v>3.4585492227979273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0</v>
      </c>
      <c r="Y17" s="333">
        <f t="shared" si="7"/>
        <v>54</v>
      </c>
      <c r="Z17" s="334" t="str">
        <f>IF(ISNUMBER(Datos!CC17),Datos!CC17," - ")</f>
        <v xml:space="preserve"> - </v>
      </c>
      <c r="AA17" s="331">
        <f>IF(ISNUMBER(Datos!L17),Datos!L17,"-")</f>
        <v>146</v>
      </c>
      <c r="AB17" s="333">
        <f>IF(ISNUMBER(Datos!R17),Datos!R17," - ")</f>
        <v>0</v>
      </c>
      <c r="AC17" s="333">
        <f t="shared" si="6"/>
        <v>146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1.0588235294117647</v>
      </c>
      <c r="AM17" s="259">
        <f>IF(ISNUMBER(((NºAsuntos!I17/NºAsuntos!G17)*11)/factor_trimestre),((NºAsuntos!I17/NºAsuntos!G17)*11)/factor_trimestre," - ")</f>
        <v>8.1111111111111107</v>
      </c>
      <c r="AN17" s="243">
        <f>IF(ISNUMBER('Resol  Asuntos'!D17/NºAsuntos!G17),'Resol  Asuntos'!D17/NºAsuntos!G17," - ")</f>
        <v>0.16666666666666666</v>
      </c>
      <c r="AO17" s="244">
        <f>IF(ISNUMBER((NºAsuntos!C17+NºAsuntos!E17)/NºAsuntos!G17),(NºAsuntos!C17+NºAsuntos!E17)/NºAsuntos!G17," - ")</f>
        <v>3.7037037037037037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1915</v>
      </c>
      <c r="G18" s="865">
        <f>SUBTOTAL(9,G15:G17)</f>
        <v>2067</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826</v>
      </c>
      <c r="X18" s="866">
        <f t="shared" si="11"/>
        <v>0</v>
      </c>
      <c r="Y18" s="867">
        <f t="shared" si="11"/>
        <v>826</v>
      </c>
      <c r="Z18" s="867">
        <f t="shared" si="11"/>
        <v>0</v>
      </c>
      <c r="AA18" s="867">
        <f t="shared" si="11"/>
        <v>2041</v>
      </c>
      <c r="AB18" s="867">
        <f t="shared" si="11"/>
        <v>105</v>
      </c>
      <c r="AC18" s="867">
        <f t="shared" si="11"/>
        <v>2146</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1.0286425902864258</v>
      </c>
      <c r="AM18" s="873">
        <f>IF(ISNUMBER(((NºAsuntos!I18/NºAsuntos!G18)*11)/factor_trimestre),((NºAsuntos!I18/NºAsuntos!G18)*11)/factor_trimestre," - ")</f>
        <v>7.4128329297820832</v>
      </c>
      <c r="AN18" s="874">
        <f>IF(ISNUMBER('Resol  Asuntos'!D18/NºAsuntos!G18),'Resol  Asuntos'!D18/NºAsuntos!G18," - ")</f>
        <v>6.4164648910411626E-2</v>
      </c>
      <c r="AO18" s="875">
        <f>IF(ISNUMBER((NºAsuntos!C18+NºAsuntos!E18)/NºAsuntos!G18),(NºAsuntos!C18+NºAsuntos!E18)/NºAsuntos!G18," - ")</f>
        <v>3.4745762711864407</v>
      </c>
      <c r="AP18" s="876" t="str">
        <f t="shared" si="2"/>
        <v xml:space="preserve"> - </v>
      </c>
      <c r="AQ18" s="876">
        <f>IF(ISNUMBER((H18-W18+K18)/(F18)),(H18-W18+K18)/(F18)," - ")</f>
        <v>-0.43133159268929505</v>
      </c>
      <c r="AR18" s="877">
        <f>IF(ISNUMBER((Datos!P18-Datos!Q18)/(Datos!R18-Datos!P18+Datos!Q18)),(Datos!P18-Datos!Q18)/(Datos!R18-Datos!P18+Datos!Q18)," - ")</f>
        <v>9.6153846153846159E-3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1980</v>
      </c>
      <c r="G19" s="820">
        <f t="shared" si="13"/>
        <v>2132</v>
      </c>
      <c r="H19" s="819">
        <f t="shared" si="13"/>
        <v>0</v>
      </c>
      <c r="I19" s="821">
        <f t="shared" si="13"/>
        <v>0</v>
      </c>
      <c r="J19" s="821">
        <f t="shared" si="13"/>
        <v>0</v>
      </c>
      <c r="K19" s="880">
        <f t="shared" si="13"/>
        <v>0</v>
      </c>
      <c r="L19" s="821">
        <f t="shared" si="13"/>
        <v>157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840</v>
      </c>
      <c r="X19" s="820">
        <f t="shared" si="14"/>
        <v>182</v>
      </c>
      <c r="Y19" s="827">
        <f t="shared" si="14"/>
        <v>1022</v>
      </c>
      <c r="Z19" s="827">
        <f t="shared" si="14"/>
        <v>0</v>
      </c>
      <c r="AA19" s="827">
        <f t="shared" si="14"/>
        <v>2105</v>
      </c>
      <c r="AB19" s="827">
        <f t="shared" si="14"/>
        <v>2774</v>
      </c>
      <c r="AC19" s="827">
        <f t="shared" si="14"/>
        <v>2228</v>
      </c>
      <c r="AD19" s="827">
        <f t="shared" si="14"/>
        <v>0</v>
      </c>
      <c r="AE19" s="829">
        <f t="shared" si="14"/>
        <v>0</v>
      </c>
      <c r="AF19" s="830">
        <f t="shared" si="14"/>
        <v>0</v>
      </c>
      <c r="AG19" s="831">
        <f t="shared" si="14"/>
        <v>0</v>
      </c>
      <c r="AH19" s="829">
        <f t="shared" si="14"/>
        <v>0</v>
      </c>
      <c r="AI19" s="819">
        <f t="shared" si="14"/>
        <v>185</v>
      </c>
      <c r="AJ19" s="819">
        <f t="shared" si="14"/>
        <v>0</v>
      </c>
      <c r="AK19" s="829">
        <f t="shared" si="14"/>
        <v>0</v>
      </c>
      <c r="AL19" s="883">
        <f>IF(ISNUMBER(NºAsuntos!G19/NºAsuntos!E19),NºAsuntos!G19/NºAsuntos!E19," - ")</f>
        <v>1.0684713375796178</v>
      </c>
      <c r="AM19" s="884">
        <f>IF(ISNUMBER(((NºAsuntos!I19/NºAsuntos!G19)*11)/factor_trimestre),((NºAsuntos!I19/NºAsuntos!G19)*11)/factor_trimestre," - ")</f>
        <v>10.439642324888228</v>
      </c>
      <c r="AN19" s="884">
        <f>IF(ISNUMBER('Resol  Asuntos'!D19/NºAsuntos!G19),'Resol  Asuntos'!D19/NºAsuntos!G19," - ")</f>
        <v>0.13785394932935915</v>
      </c>
      <c r="AO19" s="885">
        <f>IF(ISNUMBER((NºAsuntos!C19+NºAsuntos!E19)/NºAsuntos!G19),(NºAsuntos!C19+NºAsuntos!E19)/NºAsuntos!G19," - ")</f>
        <v>4.4724292101341279</v>
      </c>
      <c r="AP19" s="886" t="str">
        <f t="shared" si="2"/>
        <v xml:space="preserve"> - </v>
      </c>
      <c r="AQ19" s="887">
        <f>IF(OR(ISNUMBER(FIND("01",Criterios!A8,1)),ISNUMBER(FIND("02",Criterios!A8,1)),ISNUMBER(FIND("03",Criterios!A8,1)),ISNUMBER(FIND("04",Criterios!A8,1))),(I19-W19+K19)/(F19-K19),(H19-W19+K19)/(F19-K19))</f>
        <v>-0.42424242424242425</v>
      </c>
      <c r="AR19" s="888">
        <f>IF(ISNUMBER((Datos!P19-Datos!Q19)/(Datos!R19-Datos!P19+Datos!Q19)),(Datos!P19-Datos!Q19)/(Datos!R19-Datos!P19+Datos!Q19)," - ")</f>
        <v>-8.9317613433369056E-3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1068.0979980008076</v>
      </c>
      <c r="G21" s="252">
        <f>IF(ISNUMBER(STDEV(G8:G18)),STDEV(G8:G18),"-")</f>
        <v>1042.2961191523261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423.40524323631138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57.611341476020733</v>
      </c>
      <c r="AJ21" s="251">
        <f t="shared" si="18"/>
        <v>0</v>
      </c>
      <c r="AK21" s="253">
        <f t="shared" si="18"/>
        <v>0</v>
      </c>
      <c r="AL21" s="248">
        <f t="shared" si="18"/>
        <v>5.1251200037422791E-2</v>
      </c>
      <c r="AM21" s="249">
        <f t="shared" si="18"/>
        <v>3.9661758049048137</v>
      </c>
      <c r="AN21" s="249">
        <f t="shared" si="18"/>
        <v>9.579246586467477E-2</v>
      </c>
      <c r="AO21" s="250">
        <f t="shared" si="18"/>
        <v>1.3100605116543955</v>
      </c>
      <c r="AP21" s="290" t="str">
        <f t="shared" si="18"/>
        <v>-</v>
      </c>
      <c r="AQ21" s="291">
        <f t="shared" si="18"/>
        <v>0.15269757202887646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ics8CDAmrjcBRFeU0yeN4HmHzI6zYQVEIw6UnSlsFaKXjZRPtTP1d93aMKCYrHrFzp2WJV5uxlKIroKPmhz5w==" saltValue="cSEOpb2e1nfshsxiRyop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CARAVACA DE LA CRUZ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0.41304347826086957</v>
      </c>
      <c r="E10" s="347">
        <f>IF(ISNUMBER((Datos!J10-Datos!T10)/Datos!T10),(Datos!J10-Datos!T10)/Datos!T10," - ")</f>
        <v>-0.13333333333333333</v>
      </c>
      <c r="F10" s="347">
        <f>IF(ISNUMBER((Datos!K10-Datos!U10)/Datos!U10),(Datos!K10-Datos!U10)/Datos!U10," - ")</f>
        <v>13</v>
      </c>
      <c r="G10" s="348">
        <f>IF(ISNUMBER((Datos!L10-Datos!V10)/Datos!V10),(Datos!L10-Datos!V10)/Datos!V10," - ")</f>
        <v>6.6666666666666666E-2</v>
      </c>
      <c r="H10" s="229" t="str">
        <f>IF(ISNUMBER((Datos!M10-Datos!W10)/Datos!W10),(Datos!M10-Datos!W10)/Datos!W10," - ")</f>
        <v xml:space="preserve"> - </v>
      </c>
      <c r="I10" s="349">
        <f>IF(ISNUMBER((Tasas!C10-Datos!BE10)/Datos!BE10),(Tasas!C10-Datos!BE10)/Datos!BE10," - ")</f>
        <v>-0.92380952380952386</v>
      </c>
      <c r="J10" s="348" t="str">
        <f>IF(ISNUMBER((Tasas!D10-Datos!BF10)/Datos!BF10),(Tasas!D10-Datos!BF10)/Datos!BF10," - ")</f>
        <v xml:space="preserve"> - </v>
      </c>
      <c r="K10" s="350">
        <f>IF(ISNUMBER((Tasas!E10-Datos!BG10)/Datos!BG10),(Tasas!E10-Datos!BG10)/Datos!BG10," - ")</f>
        <v>-0.90866510538641687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0.59751504929188359</v>
      </c>
      <c r="J12" s="348">
        <f>IF(ISNUMBER((Tasas!D12-Datos!BF12)/Datos!BF12),(Tasas!D12-Datos!BF12)/Datos!BF12," - ")</f>
        <v>-0.55877804571188927</v>
      </c>
      <c r="K12" s="350">
        <f>IF(ISNUMBER((Tasas!E12-Datos!BG12)/Datos!BG12),(Tasas!E12-Datos!BG12)/Datos!BG12," - ")</f>
        <v>0.44902872292110513</v>
      </c>
      <c r="M12" t="e">
        <f>IF(Monitorios="SI",Datos!CE12,0)</f>
        <v>#REF!</v>
      </c>
      <c r="N12" t="e">
        <f>IF(Monitorios="SI",Datos!CF12,0)</f>
        <v>#REF!</v>
      </c>
      <c r="O12" t="e">
        <f>IF(Monitorios="SI",Datos!CG12,0)</f>
        <v>#REF!</v>
      </c>
      <c r="P12" t="e">
        <f>IF(Monitorios="SI",Datos!CH12,0)</f>
        <v>#REF!</v>
      </c>
      <c r="Q12">
        <f>IF(J_V="SI",0,Datos!AG12)</f>
        <v>77</v>
      </c>
      <c r="R12">
        <f>IF(J_V="SI",0,Datos!AH12)</f>
        <v>13</v>
      </c>
      <c r="S12">
        <f>IF(J_V="SI",0,Datos!AI12)</f>
        <v>17</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7.6335877862595417E-3</v>
      </c>
      <c r="I13" s="356">
        <f>IF(ISNUMBER((Tasas!C13-Datos!BE13)/Datos!BE13),(Tasas!C13-Datos!BE13)/Datos!BE13," - ")</f>
        <v>0.55712988025311938</v>
      </c>
      <c r="J13" s="354">
        <f>IF(ISNUMBER((Tasas!D13-Datos!BF13)/Datos!BF13),(Tasas!D13-Datos!BF13)/Datos!BF13," - ")</f>
        <v>-0.56691146470828235</v>
      </c>
      <c r="K13" s="357">
        <f>IF(ISNUMBER((Tasas!E13-Datos!BG13)/Datos!BG13),(Tasas!E13-Datos!BG13)/Datos!BG13," - ")</f>
        <v>0.42081881901645818</v>
      </c>
      <c r="M13" t="e">
        <f>IF(Monitorios="SI",Datos!CE13,0)</f>
        <v>#REF!</v>
      </c>
      <c r="N13" t="e">
        <f>IF(Monitorios="SI",Datos!CF13,0)</f>
        <v>#REF!</v>
      </c>
      <c r="O13" t="e">
        <f>IF(Monitorios="SI",Datos!CG13,0)</f>
        <v>#REF!</v>
      </c>
      <c r="P13" t="e">
        <f>IF(Monitorios="SI",Datos!CH13,0)</f>
        <v>#REF!</v>
      </c>
      <c r="Q13">
        <f>IF(J_V="SI",0,Datos!AG13)</f>
        <v>77</v>
      </c>
      <c r="R13">
        <f>IF(J_V="SI",0,Datos!AH13)</f>
        <v>13</v>
      </c>
      <c r="S13">
        <f>IF(J_V="SI",0,Datos!AI13)</f>
        <v>17</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0.28811282740094024</v>
      </c>
      <c r="E16" s="347">
        <f>IF(ISNUMBER(
   IF(D_I="SI",(Datos!J16-Datos!T16)/Datos!T16,(Datos!J16+Datos!AD16-(Datos!T16+Datos!AL16))/(Datos!T16+Datos!AL16))
     ),IF(D_I="SI",(Datos!J16-Datos!T16)/Datos!T16,(Datos!J16+Datos!AD16-(Datos!T16+Datos!AL16))/(Datos!T16+Datos!AL16))," - ")</f>
        <v>0.40823970037453183</v>
      </c>
      <c r="F16" s="347">
        <f>IF(ISNUMBER(
   IF(D_I="SI",(Datos!K16-Datos!U16)/Datos!U16,(Datos!K16+Datos!AE16-(Datos!U16+Datos!AM16))/(Datos!U16+Datos!AM16))
     ),IF(D_I="SI",(Datos!K16-Datos!U16)/Datos!U16,(Datos!K16+Datos!AE16-(Datos!U16+Datos!AM16))/(Datos!U16+Datos!AM16))," - ")</f>
        <v>0.55959595959595965</v>
      </c>
      <c r="G16" s="348">
        <f>IF(ISNUMBER(
   IF(D_I="SI",(Datos!L16-Datos!V16)/Datos!V16,(Datos!L16+Datos!AF16-(Datos!V16+Datos!AN16))/(Datos!V16+Datos!AN16))
     ),IF(D_I="SI",(Datos!L16-Datos!V16)/Datos!V16,(Datos!L16+Datos!AF16-(Datos!V16+Datos!AN16))/(Datos!V16+Datos!AN16))," - ")</f>
        <v>0.28911564625850339</v>
      </c>
      <c r="H16" s="229">
        <f>IF(ISNUMBER((Datos!M16-Datos!W16)/Datos!W16),(Datos!M16-Datos!W16)/Datos!W16," - ")</f>
        <v>-0.25423728813559321</v>
      </c>
      <c r="I16" s="349">
        <f>IF(ISNUMBER((Tasas!C16-Datos!BE16)/Datos!BE16),(Tasas!C16-Datos!BE16)/Datos!BE16," - ")</f>
        <v>-0.17342973458813585</v>
      </c>
      <c r="J16" s="348">
        <f>IF(ISNUMBER((Tasas!D16-Datos!BF16)/Datos!BF16),(Tasas!D16-Datos!BF16)/Datos!BF16," - ")</f>
        <v>-0.52182313164134542</v>
      </c>
      <c r="K16" s="350">
        <f>IF(ISNUMBER((Tasas!E16-Datos!BG16)/Datos!BG16),(Tasas!E16-Datos!BG16)/Datos!BG16," - ")</f>
        <v>-0.15374104533614735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3.4722222222222224E-2</v>
      </c>
      <c r="E17" s="347">
        <f>IF(ISNUMBER(
   IF(D_I="SI",(Datos!J17-Datos!T17)/Datos!T17,(Datos!J17+Datos!AD17-(Datos!T17+Datos!AL17))/(Datos!T17+Datos!AL17))
     ),IF(D_I="SI",(Datos!J17-Datos!T17)/Datos!T17,(Datos!J17+Datos!AD17-(Datos!T17+Datos!AL17))/(Datos!T17+Datos!AL17))," - ")</f>
        <v>-0.17741935483870969</v>
      </c>
      <c r="F17" s="347">
        <f>IF(ISNUMBER(
   IF(D_I="SI",(Datos!K17-Datos!U17)/Datos!U17,(Datos!K17+Datos!AE17-(Datos!U17+Datos!AM17))/(Datos!U17+Datos!AM17))
     ),IF(D_I="SI",(Datos!K17-Datos!U17)/Datos!U17,(Datos!K17+Datos!AE17-(Datos!U17+Datos!AM17))/(Datos!U17+Datos!AM17))," - ")</f>
        <v>0.22727272727272727</v>
      </c>
      <c r="G17" s="348">
        <f>IF(ISNUMBER(
   IF(D_I="SI",(Datos!L17-Datos!V17)/Datos!V17,(Datos!L17+Datos!AF17-(Datos!V17+Datos!AN17))/(Datos!V17+Datos!AN17))
     ),IF(D_I="SI",(Datos!L17-Datos!V17)/Datos!V17,(Datos!L17+Datos!AF17-(Datos!V17+Datos!AN17))/(Datos!V17+Datos!AN17))," - ")</f>
        <v>-9.8765432098765427E-2</v>
      </c>
      <c r="H17" s="229">
        <f>IF(ISNUMBER((Datos!M17-Datos!W17)/Datos!W17),(Datos!M17-Datos!W17)/Datos!W17," - ")</f>
        <v>-0.25</v>
      </c>
      <c r="I17" s="349">
        <f>IF(ISNUMBER((Tasas!C17-Datos!BE17)/Datos!BE17),(Tasas!C17-Datos!BE17)/Datos!BE17," - ")</f>
        <v>-0.26566072245084588</v>
      </c>
      <c r="J17" s="348">
        <f>IF(ISNUMBER((Tasas!D17-Datos!BF17)/Datos!BF17),(Tasas!D17-Datos!BF17)/Datos!BF17," - ")</f>
        <v>-0.3888888888888889</v>
      </c>
      <c r="K17" s="350">
        <f>IF(ISNUMBER((Tasas!E17-Datos!BG17)/Datos!BG17),(Tasas!E17-Datos!BG17)/Datos!BG17," - ")</f>
        <v>-0.20891765551959723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0.26576852418860991</v>
      </c>
      <c r="E18" s="353">
        <f>IF(ISNUMBER(
   IF(D_I="SI",(Datos!J18-Datos!T18)/Datos!T18,(Datos!J18+Datos!AD18-(Datos!T18+Datos!AL18))/(Datos!T18+Datos!AL18))
     ),IF(D_I="SI",(Datos!J18-Datos!T18)/Datos!T18,(Datos!J18+Datos!AD18-(Datos!T18+Datos!AL18))/(Datos!T18+Datos!AL18))," - ")</f>
        <v>0.34731543624161076</v>
      </c>
      <c r="F18" s="353">
        <f>IF(ISNUMBER(
   IF(D_I="SI",(Datos!K18-Datos!U18)/Datos!U18,(Datos!K18+Datos!AE18-(Datos!U18+Datos!AM18))/(Datos!U18+Datos!AM18))
     ),IF(D_I="SI",(Datos!K18-Datos!U18)/Datos!U18,(Datos!K18+Datos!AE18-(Datos!U18+Datos!AM18))/(Datos!U18+Datos!AM18))," - ")</f>
        <v>0.53246753246753242</v>
      </c>
      <c r="G18" s="354">
        <f>IF(ISNUMBER(
   IF(D_I="SI",(Datos!L18-Datos!V18)/Datos!V18,(Datos!L18+Datos!AF18-(Datos!V18+Datos!AN18))/(Datos!V18+Datos!AN18))
     ),IF(D_I="SI",(Datos!L18-Datos!V18)/Datos!V18,(Datos!L18+Datos!AF18-(Datos!V18+Datos!AN18))/(Datos!V18+Datos!AN18))," - ")</f>
        <v>0.25061274509803921</v>
      </c>
      <c r="H18" s="355">
        <f>IF(ISNUMBER((Datos!M18-Datos!W18)/Datos!W18),(Datos!M18-Datos!W18)/Datos!W18," - ")</f>
        <v>-0.25352112676056338</v>
      </c>
      <c r="I18" s="356">
        <f>IF(ISNUMBER((Tasas!C18-Datos!BE18)/Datos!BE18),(Tasas!C18-Datos!BE18)/Datos!BE18," - ")</f>
        <v>-0.1839221917580591</v>
      </c>
      <c r="J18" s="354">
        <f>IF(ISNUMBER((Tasas!D18-Datos!BF18)/Datos!BF18),(Tasas!D18-Datos!BF18)/Datos!BF18," - ")</f>
        <v>-0.51289090475053711</v>
      </c>
      <c r="K18" s="357">
        <f>IF(ISNUMBER((Tasas!E18-Datos!BG18)/Datos!BG18),(Tasas!E18-Datos!BG18)/Datos!BG18," - ")</f>
        <v>-0.15980412284903919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0.16781496062992127</v>
      </c>
      <c r="E19" s="362">
        <f>IF(ISNUMBER(
   IF(J_V="SI",(Datos!J19-Datos!T19)/Datos!T19,(Datos!J19+Datos!Z19-(Datos!T19+Datos!AH19))/(Datos!T19+Datos!AH19))
     ),IF(J_V="SI",(Datos!J19-Datos!T19)/Datos!T19,(Datos!J19+Datos!Z19-(Datos!T19+Datos!AH19))/(Datos!T19+Datos!AH19))," - ")</f>
        <v>-0.14149008885850992</v>
      </c>
      <c r="F19" s="362">
        <f>IF(ISNUMBER(
   IF(J_V="SI",(Datos!K19-Datos!U19)/Datos!U19,(Datos!K19+Datos!AA19-(Datos!U19+Datos!AI19))/(Datos!U19+Datos!AI19))
     ),IF(J_V="SI",(Datos!K19-Datos!U19)/Datos!U19,(Datos!K19+Datos!AA19-(Datos!U19+Datos!AI19))/(Datos!U19+Datos!AI19))," - ")</f>
        <v>2.364607170099161E-2</v>
      </c>
      <c r="G19" s="363">
        <f>IF(ISNUMBER(
   IF(J_V="SI",(Datos!L19-Datos!V19)/Datos!V19,(Datos!L19+Datos!AB19-(Datos!V19+Datos!AJ19))/(Datos!V19+Datos!AJ19))
     ),IF(J_V="SI",(Datos!L19-Datos!V19)/Datos!V19,(Datos!L19+Datos!AB19-(Datos!V19+Datos!AJ19))/(Datos!V19+Datos!AJ19))," - ")</f>
        <v>0.12313612313612314</v>
      </c>
      <c r="H19" s="364">
        <f>IF(ISNUMBER((Datos!M19-Datos!W19)/Datos!W19),(Datos!M19-Datos!W19)/Datos!W19," - ")</f>
        <v>-8.4158415841584164E-2</v>
      </c>
      <c r="I19" s="361">
        <f>IF(ISNUMBER((Tasas!C19-Datos!BE19)/Datos!BE19),(Tasas!C19-Datos!BE19)/Datos!BE19," - ")</f>
        <v>9.7191846074111396E-2</v>
      </c>
      <c r="J19" s="362">
        <f>IF(ISNUMBER((Tasas!D19-Datos!BF19)/Datos!BF19),(Tasas!D19-Datos!BF19)/Datos!BF19," - ")</f>
        <v>-0.6570654125791463</v>
      </c>
      <c r="K19" s="363">
        <f>IF(ISNUMBER((Tasas!E19-Datos!BG19)/Datos!BG19),(Tasas!E19-Datos!BG19)/Datos!BG19," - ")</f>
        <v>6.0856648179091949E-2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0.15772154067722124</v>
      </c>
      <c r="E21" s="277">
        <f t="shared" si="1"/>
        <v>0.30934380330374767</v>
      </c>
      <c r="F21" s="277">
        <f t="shared" si="1"/>
        <v>6.2819178272003215</v>
      </c>
      <c r="G21" s="278">
        <f t="shared" si="1"/>
        <v>0.17904533937907038</v>
      </c>
      <c r="H21" s="284">
        <f t="shared" si="1"/>
        <v>0.14047275608249293</v>
      </c>
      <c r="I21" s="276">
        <f t="shared" si="1"/>
        <v>0.57090962632158515</v>
      </c>
      <c r="J21" s="277">
        <f t="shared" si="1"/>
        <v>7.1474046751108911E-2</v>
      </c>
      <c r="K21" s="278">
        <f t="shared" si="1"/>
        <v>0.49893924563644509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bCCPW4QEYZm3E8c4+doAXNdJBSrVVevi0jVeC7OndtTtYb51OYxCgoUFc4nHw93XRSlfisz7YZGH9HnkUmLrg==" saltValue="XXx3j3ETUbzDz6uQu/SY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